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120" yWindow="105" windowWidth="9420" windowHeight="4500" tabRatio="921" activeTab="12"/>
  </bookViews>
  <sheets>
    <sheet name="дод1" sheetId="27" r:id="rId1"/>
    <sheet name="дод1.1" sheetId="29" r:id="rId2"/>
    <sheet name="дод1.2" sheetId="32" r:id="rId3"/>
    <sheet name="дод1.3" sheetId="34" r:id="rId4"/>
    <sheet name="дод1.4" sheetId="35" r:id="rId5"/>
    <sheet name="дод1.5" sheetId="37" r:id="rId6"/>
    <sheet name="дод2" sheetId="20" r:id="rId7"/>
    <sheet name="дод3" sheetId="1" r:id="rId8"/>
    <sheet name="дод5" sheetId="12" r:id="rId9"/>
    <sheet name="дод5.1" sheetId="24" r:id="rId10"/>
    <sheet name="дод5.2" sheetId="31" r:id="rId11"/>
    <sheet name="дод6" sheetId="15" r:id="rId12"/>
    <sheet name="  дод7" sheetId="22" r:id="rId13"/>
  </sheets>
  <definedNames>
    <definedName name="_xlnm._FilterDatabase" localSheetId="12" hidden="1">'  дод7'!$I$1:$I$376</definedName>
    <definedName name="_xlnm._FilterDatabase" localSheetId="0" hidden="1">дод1!$G$1:$G$199</definedName>
    <definedName name="_xlnm._FilterDatabase" localSheetId="1" hidden="1">дод1.1!$I$1:$I$2019</definedName>
    <definedName name="_xlnm._FilterDatabase" localSheetId="2" hidden="1">дод1.2!$A$1:$AQ$124</definedName>
    <definedName name="_xlnm._FilterDatabase" localSheetId="3" hidden="1">дод1.3!$I$1:$I$41</definedName>
    <definedName name="_xlnm._FilterDatabase" localSheetId="4" hidden="1">дод1.4!$I$1:$I$46</definedName>
    <definedName name="_xlnm._FilterDatabase" localSheetId="5" hidden="1">дод1.5!$I$1:$I$46</definedName>
    <definedName name="_xlnm._FilterDatabase" localSheetId="7" hidden="1">дод3!$R$1:$R$319</definedName>
    <definedName name="_xlnm._FilterDatabase" localSheetId="9" hidden="1">дод5.1!$I$1:$I$4191</definedName>
    <definedName name="_xlnm._FilterDatabase" localSheetId="11" hidden="1">дод6!$K$1:$K$310</definedName>
    <definedName name="_xlnm.Print_Titles" localSheetId="12">'  дод7'!$7:$8</definedName>
    <definedName name="_xlnm.Print_Titles" localSheetId="0">дод1!$6:$8</definedName>
    <definedName name="_xlnm.Print_Titles" localSheetId="1">дод1.1!$A:$A,дод1.1!$6:$7</definedName>
    <definedName name="_xlnm.Print_Titles" localSheetId="2">дод1.2!$A:$A,дод1.2!$6:$7</definedName>
    <definedName name="_xlnm.Print_Titles" localSheetId="3">дод1.3!$A:$A,дод1.3!$6:$7</definedName>
    <definedName name="_xlnm.Print_Titles" localSheetId="4">дод1.4!$A:$A,дод1.4!$6:$7</definedName>
    <definedName name="_xlnm.Print_Titles" localSheetId="5">дод1.5!$A:$A,дод1.5!$6:$7</definedName>
    <definedName name="_xlnm.Print_Titles" localSheetId="6">дод2!$7:$9</definedName>
    <definedName name="_xlnm.Print_Titles" localSheetId="7">дод3!$6:$12</definedName>
    <definedName name="_xlnm.Print_Titles" localSheetId="8">дод5!$B:$B,дод5!$7:$14</definedName>
    <definedName name="_xlnm.Print_Titles" localSheetId="9">дод5.1!$A:$A,дод5.1!$6:$7</definedName>
    <definedName name="_xlnm.Print_Titles" localSheetId="10">дод5.2!$6:$6</definedName>
    <definedName name="_xlnm.Print_Titles" localSheetId="11">дод6!$7:$8</definedName>
    <definedName name="_xlnm.Print_Area" localSheetId="12">'  дод7'!$A$1:$H$319</definedName>
    <definedName name="_xlnm.Print_Area" localSheetId="0">дод1!$A$1:$F$152</definedName>
    <definedName name="_xlnm.Print_Area" localSheetId="1">дод1.1!$A$1:$E$1999</definedName>
    <definedName name="_xlnm.Print_Area" localSheetId="2">дод1.2!$A$1:$E$114</definedName>
    <definedName name="_xlnm.Print_Area" localSheetId="3">дод1.3!$A$1:$E$35</definedName>
    <definedName name="_xlnm.Print_Area" localSheetId="4">дод1.4!$A$1:$E$40</definedName>
    <definedName name="_xlnm.Print_Area" localSheetId="5">дод1.5!$A$1:$E$40</definedName>
    <definedName name="_xlnm.Print_Area" localSheetId="6">дод2!$A$1:$G$30</definedName>
    <definedName name="_xlnm.Print_Area" localSheetId="7">дод3!$A$1:$Q$291</definedName>
    <definedName name="_xlnm.Print_Area" localSheetId="8">дод5!$A$1:$BR$120</definedName>
    <definedName name="_xlnm.Print_Area" localSheetId="9">дод5.1!$A$1:$E$4169</definedName>
    <definedName name="_xlnm.Print_Area" localSheetId="10">дод5.2!$A$1:$E$107</definedName>
    <definedName name="_xlnm.Print_Area" localSheetId="11">дод6!$A$1:$I$142</definedName>
  </definedNames>
  <calcPr calcId="162913" fullCalcOnLoad="1"/>
</workbook>
</file>

<file path=xl/calcChain.xml><?xml version="1.0" encoding="utf-8"?>
<calcChain xmlns="http://schemas.openxmlformats.org/spreadsheetml/2006/main">
  <c r="R29" i="1" l="1"/>
  <c r="R37" i="1"/>
  <c r="R41" i="1"/>
  <c r="R45" i="1"/>
  <c r="R49" i="1"/>
  <c r="R57" i="1"/>
  <c r="R61" i="1"/>
  <c r="R77" i="1"/>
  <c r="R93" i="1"/>
  <c r="S93" i="1"/>
  <c r="R97" i="1"/>
  <c r="R101" i="1"/>
  <c r="R105" i="1"/>
  <c r="R121" i="1"/>
  <c r="R137" i="1"/>
  <c r="R157" i="1"/>
  <c r="R169" i="1"/>
  <c r="R173" i="1"/>
  <c r="R181" i="1"/>
  <c r="R221" i="1"/>
  <c r="R253" i="1"/>
  <c r="S253" i="1"/>
  <c r="R269" i="1"/>
  <c r="R273" i="1"/>
  <c r="R285" i="1"/>
  <c r="Y86" i="12"/>
  <c r="Y69" i="12"/>
  <c r="Y68" i="12"/>
  <c r="Y65" i="12"/>
  <c r="Y62" i="12"/>
  <c r="Y56" i="12"/>
  <c r="Y24" i="12"/>
  <c r="Y20" i="12"/>
  <c r="Y19" i="12"/>
  <c r="W19" i="12"/>
  <c r="E273" i="1"/>
  <c r="Q273" i="1"/>
  <c r="F48" i="1"/>
  <c r="I61" i="15"/>
  <c r="I63" i="15"/>
  <c r="G19" i="12"/>
  <c r="G33" i="12"/>
  <c r="G44" i="12"/>
  <c r="G43" i="12"/>
  <c r="G42" i="12"/>
  <c r="G40" i="12"/>
  <c r="G39" i="12"/>
  <c r="G38" i="12"/>
  <c r="G37" i="12"/>
  <c r="G36" i="12"/>
  <c r="G34" i="12"/>
  <c r="G32" i="12"/>
  <c r="G31" i="12"/>
  <c r="G30" i="12"/>
  <c r="G28" i="12"/>
  <c r="G27" i="12"/>
  <c r="G26" i="12"/>
  <c r="G25" i="12"/>
  <c r="G24" i="12"/>
  <c r="G23" i="12"/>
  <c r="G22" i="12"/>
  <c r="G20" i="12"/>
  <c r="G18" i="12"/>
  <c r="G16" i="12"/>
  <c r="F277" i="1"/>
  <c r="D105" i="27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0" i="12"/>
  <c r="F18" i="12"/>
  <c r="F16" i="12"/>
  <c r="F276" i="1"/>
  <c r="D103" i="27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0" i="12"/>
  <c r="H19" i="12"/>
  <c r="H18" i="12"/>
  <c r="H17" i="12"/>
  <c r="H16" i="12"/>
  <c r="F278" i="1"/>
  <c r="D102" i="27"/>
  <c r="F184" i="1"/>
  <c r="G184" i="1"/>
  <c r="H184" i="1"/>
  <c r="I184" i="1"/>
  <c r="K184" i="1"/>
  <c r="L184" i="1"/>
  <c r="M184" i="1"/>
  <c r="J214" i="1"/>
  <c r="J215" i="1"/>
  <c r="Q215" i="1"/>
  <c r="E215" i="1"/>
  <c r="R215" i="1"/>
  <c r="BI122" i="12"/>
  <c r="BJ58" i="12"/>
  <c r="AS58" i="12"/>
  <c r="P287" i="1"/>
  <c r="O287" i="1"/>
  <c r="N287" i="1"/>
  <c r="F287" i="1"/>
  <c r="E17" i="20"/>
  <c r="D17" i="20"/>
  <c r="D27" i="20"/>
  <c r="K16" i="15"/>
  <c r="K17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98" i="15"/>
  <c r="K99" i="15"/>
  <c r="K100" i="15"/>
  <c r="K101" i="15"/>
  <c r="K102" i="15"/>
  <c r="K103" i="15"/>
  <c r="K104" i="15"/>
  <c r="K105" i="15"/>
  <c r="K106" i="15"/>
  <c r="K107" i="15"/>
  <c r="K108" i="15"/>
  <c r="K109" i="15"/>
  <c r="K110" i="15"/>
  <c r="K111" i="15"/>
  <c r="K112" i="15"/>
  <c r="K113" i="15"/>
  <c r="K114" i="15"/>
  <c r="K115" i="15"/>
  <c r="K116" i="15"/>
  <c r="K117" i="15"/>
  <c r="K119" i="15"/>
  <c r="K120" i="15"/>
  <c r="K121" i="15"/>
  <c r="K122" i="15"/>
  <c r="K123" i="15"/>
  <c r="K124" i="15"/>
  <c r="K125" i="15"/>
  <c r="K126" i="15"/>
  <c r="K127" i="15"/>
  <c r="K128" i="15"/>
  <c r="K129" i="15"/>
  <c r="K133" i="15"/>
  <c r="K134" i="15"/>
  <c r="K135" i="15"/>
  <c r="K136" i="15"/>
  <c r="K137" i="15"/>
  <c r="K138" i="15"/>
  <c r="K139" i="15"/>
  <c r="K140" i="15"/>
  <c r="J119" i="15"/>
  <c r="J55" i="15"/>
  <c r="J28" i="15"/>
  <c r="J16" i="15"/>
  <c r="I9" i="24"/>
  <c r="I10" i="24"/>
  <c r="I11" i="24"/>
  <c r="I12" i="24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31" i="24"/>
  <c r="I32" i="24"/>
  <c r="I33" i="24"/>
  <c r="I34" i="24"/>
  <c r="I35" i="24"/>
  <c r="I36" i="24"/>
  <c r="I37" i="24"/>
  <c r="I38" i="24"/>
  <c r="I39" i="24"/>
  <c r="I40" i="24"/>
  <c r="I41" i="24"/>
  <c r="I42" i="24"/>
  <c r="I43" i="24"/>
  <c r="I44" i="24"/>
  <c r="I45" i="24"/>
  <c r="I46" i="24"/>
  <c r="I47" i="24"/>
  <c r="I48" i="24"/>
  <c r="I49" i="24"/>
  <c r="I50" i="24"/>
  <c r="I51" i="24"/>
  <c r="I52" i="24"/>
  <c r="I53" i="24"/>
  <c r="I54" i="24"/>
  <c r="I55" i="24"/>
  <c r="I56" i="24"/>
  <c r="I57" i="24"/>
  <c r="I58" i="24"/>
  <c r="I59" i="24"/>
  <c r="I60" i="24"/>
  <c r="I61" i="24"/>
  <c r="I62" i="24"/>
  <c r="I63" i="24"/>
  <c r="I64" i="24"/>
  <c r="I65" i="24"/>
  <c r="I66" i="24"/>
  <c r="I67" i="24"/>
  <c r="I68" i="24"/>
  <c r="I69" i="24"/>
  <c r="I70" i="24"/>
  <c r="I71" i="24"/>
  <c r="I72" i="24"/>
  <c r="I73" i="24"/>
  <c r="I74" i="24"/>
  <c r="I75" i="24"/>
  <c r="I76" i="24"/>
  <c r="I77" i="24"/>
  <c r="I78" i="24"/>
  <c r="I79" i="24"/>
  <c r="I80" i="24"/>
  <c r="I81" i="24"/>
  <c r="I82" i="24"/>
  <c r="I83" i="24"/>
  <c r="I84" i="24"/>
  <c r="I85" i="24"/>
  <c r="I86" i="24"/>
  <c r="I87" i="24"/>
  <c r="I88" i="24"/>
  <c r="I89" i="24"/>
  <c r="I90" i="24"/>
  <c r="I91" i="24"/>
  <c r="I92" i="24"/>
  <c r="I93" i="24"/>
  <c r="I94" i="24"/>
  <c r="I95" i="24"/>
  <c r="I96" i="24"/>
  <c r="I97" i="24"/>
  <c r="I98" i="24"/>
  <c r="I99" i="24"/>
  <c r="I100" i="24"/>
  <c r="I101" i="24"/>
  <c r="I102" i="24"/>
  <c r="I103" i="24"/>
  <c r="I104" i="24"/>
  <c r="I105" i="24"/>
  <c r="I106" i="24"/>
  <c r="I107" i="24"/>
  <c r="I108" i="24"/>
  <c r="I109" i="24"/>
  <c r="I110" i="24"/>
  <c r="I111" i="24"/>
  <c r="I112" i="24"/>
  <c r="I113" i="24"/>
  <c r="I114" i="24"/>
  <c r="I115" i="24"/>
  <c r="I116" i="24"/>
  <c r="I117" i="24"/>
  <c r="I118" i="24"/>
  <c r="I119" i="24"/>
  <c r="I120" i="24"/>
  <c r="I121" i="24"/>
  <c r="I122" i="24"/>
  <c r="I123" i="24"/>
  <c r="I124" i="24"/>
  <c r="I125" i="24"/>
  <c r="I126" i="24"/>
  <c r="I127" i="24"/>
  <c r="I128" i="24"/>
  <c r="I129" i="24"/>
  <c r="I130" i="24"/>
  <c r="I131" i="24"/>
  <c r="I132" i="24"/>
  <c r="I133" i="24"/>
  <c r="I134" i="24"/>
  <c r="I135" i="24"/>
  <c r="I136" i="24"/>
  <c r="I137" i="24"/>
  <c r="I138" i="24"/>
  <c r="I139" i="24"/>
  <c r="I140" i="24"/>
  <c r="I141" i="24"/>
  <c r="I142" i="24"/>
  <c r="I143" i="24"/>
  <c r="I144" i="24"/>
  <c r="I145" i="24"/>
  <c r="I146" i="24"/>
  <c r="I147" i="24"/>
  <c r="I148" i="24"/>
  <c r="I149" i="24"/>
  <c r="I150" i="24"/>
  <c r="I151" i="24"/>
  <c r="I152" i="24"/>
  <c r="I153" i="24"/>
  <c r="I154" i="24"/>
  <c r="I155" i="24"/>
  <c r="I156" i="24"/>
  <c r="I157" i="24"/>
  <c r="I158" i="24"/>
  <c r="I159" i="24"/>
  <c r="I160" i="24"/>
  <c r="I161" i="24"/>
  <c r="I162" i="24"/>
  <c r="I163" i="24"/>
  <c r="I164" i="24"/>
  <c r="I165" i="24"/>
  <c r="I166" i="24"/>
  <c r="I167" i="24"/>
  <c r="I168" i="24"/>
  <c r="I169" i="24"/>
  <c r="I170" i="24"/>
  <c r="I171" i="24"/>
  <c r="I172" i="24"/>
  <c r="I173" i="24"/>
  <c r="I174" i="24"/>
  <c r="I175" i="24"/>
  <c r="I176" i="24"/>
  <c r="I177" i="24"/>
  <c r="I178" i="24"/>
  <c r="I179" i="24"/>
  <c r="I180" i="24"/>
  <c r="I181" i="24"/>
  <c r="I182" i="24"/>
  <c r="I183" i="24"/>
  <c r="I184" i="24"/>
  <c r="I185" i="24"/>
  <c r="I186" i="24"/>
  <c r="I187" i="24"/>
  <c r="I188" i="24"/>
  <c r="I189" i="24"/>
  <c r="I190" i="24"/>
  <c r="I192" i="24"/>
  <c r="I193" i="24"/>
  <c r="I194" i="24"/>
  <c r="I195" i="24"/>
  <c r="I196" i="24"/>
  <c r="I197" i="24"/>
  <c r="I198" i="24"/>
  <c r="I199" i="24"/>
  <c r="I200" i="24"/>
  <c r="I201" i="24"/>
  <c r="I202" i="24"/>
  <c r="I203" i="24"/>
  <c r="I204" i="24"/>
  <c r="I205" i="24"/>
  <c r="I206" i="24"/>
  <c r="I207" i="24"/>
  <c r="I208" i="24"/>
  <c r="I209" i="24"/>
  <c r="I210" i="24"/>
  <c r="I211" i="24"/>
  <c r="I212" i="24"/>
  <c r="I213" i="24"/>
  <c r="I214" i="24"/>
  <c r="I215" i="24"/>
  <c r="I216" i="24"/>
  <c r="I217" i="24"/>
  <c r="I218" i="24"/>
  <c r="I219" i="24"/>
  <c r="I220" i="24"/>
  <c r="I221" i="24"/>
  <c r="I222" i="24"/>
  <c r="I223" i="24"/>
  <c r="I224" i="24"/>
  <c r="I225" i="24"/>
  <c r="I226" i="24"/>
  <c r="I227" i="24"/>
  <c r="I228" i="24"/>
  <c r="I229" i="24"/>
  <c r="I230" i="24"/>
  <c r="I231" i="24"/>
  <c r="I232" i="24"/>
  <c r="I233" i="24"/>
  <c r="I234" i="24"/>
  <c r="I235" i="24"/>
  <c r="I236" i="24"/>
  <c r="I237" i="24"/>
  <c r="I238" i="24"/>
  <c r="I239" i="24"/>
  <c r="I240" i="24"/>
  <c r="I241" i="24"/>
  <c r="I242" i="24"/>
  <c r="I243" i="24"/>
  <c r="I244" i="24"/>
  <c r="I245" i="24"/>
  <c r="I246" i="24"/>
  <c r="I247" i="24"/>
  <c r="I248" i="24"/>
  <c r="I249" i="24"/>
  <c r="I250" i="24"/>
  <c r="I251" i="24"/>
  <c r="I252" i="24"/>
  <c r="I253" i="24"/>
  <c r="I254" i="24"/>
  <c r="I255" i="24"/>
  <c r="I256" i="24"/>
  <c r="I257" i="24"/>
  <c r="I258" i="24"/>
  <c r="I259" i="24"/>
  <c r="I260" i="24"/>
  <c r="I261" i="24"/>
  <c r="I262" i="24"/>
  <c r="I263" i="24"/>
  <c r="I264" i="24"/>
  <c r="I265" i="24"/>
  <c r="I266" i="24"/>
  <c r="I267" i="24"/>
  <c r="I268" i="24"/>
  <c r="I269" i="24"/>
  <c r="I270" i="24"/>
  <c r="I271" i="24"/>
  <c r="I272" i="24"/>
  <c r="I273" i="24"/>
  <c r="I274" i="24"/>
  <c r="I275" i="24"/>
  <c r="I276" i="24"/>
  <c r="I277" i="24"/>
  <c r="I278" i="24"/>
  <c r="I279" i="24"/>
  <c r="I280" i="24"/>
  <c r="I281" i="24"/>
  <c r="I282" i="24"/>
  <c r="I283" i="24"/>
  <c r="I284" i="24"/>
  <c r="I285" i="24"/>
  <c r="I286" i="24"/>
  <c r="I287" i="24"/>
  <c r="I288" i="24"/>
  <c r="I289" i="24"/>
  <c r="I290" i="24"/>
  <c r="I291" i="24"/>
  <c r="I292" i="24"/>
  <c r="I293" i="24"/>
  <c r="I294" i="24"/>
  <c r="I295" i="24"/>
  <c r="I296" i="24"/>
  <c r="I297" i="24"/>
  <c r="I298" i="24"/>
  <c r="I299" i="24"/>
  <c r="I300" i="24"/>
  <c r="I301" i="24"/>
  <c r="I302" i="24"/>
  <c r="I303" i="24"/>
  <c r="I304" i="24"/>
  <c r="I305" i="24"/>
  <c r="I306" i="24"/>
  <c r="I307" i="24"/>
  <c r="I308" i="24"/>
  <c r="I309" i="24"/>
  <c r="I310" i="24"/>
  <c r="I311" i="24"/>
  <c r="I312" i="24"/>
  <c r="I313" i="24"/>
  <c r="I314" i="24"/>
  <c r="I315" i="24"/>
  <c r="I316" i="24"/>
  <c r="I317" i="24"/>
  <c r="I319" i="24"/>
  <c r="I320" i="24"/>
  <c r="I321" i="24"/>
  <c r="I322" i="24"/>
  <c r="I323" i="24"/>
  <c r="I324" i="24"/>
  <c r="I325" i="24"/>
  <c r="I326" i="24"/>
  <c r="I327" i="24"/>
  <c r="I328" i="24"/>
  <c r="I329" i="24"/>
  <c r="I330" i="24"/>
  <c r="I331" i="24"/>
  <c r="I332" i="24"/>
  <c r="I333" i="24"/>
  <c r="I334" i="24"/>
  <c r="I335" i="24"/>
  <c r="I336" i="24"/>
  <c r="I337" i="24"/>
  <c r="I338" i="24"/>
  <c r="I339" i="24"/>
  <c r="I340" i="24"/>
  <c r="I341" i="24"/>
  <c r="I342" i="24"/>
  <c r="I343" i="24"/>
  <c r="I344" i="24"/>
  <c r="I345" i="24"/>
  <c r="I346" i="24"/>
  <c r="I347" i="24"/>
  <c r="I348" i="24"/>
  <c r="I349" i="24"/>
  <c r="I350" i="24"/>
  <c r="I351" i="24"/>
  <c r="I352" i="24"/>
  <c r="I353" i="24"/>
  <c r="I354" i="24"/>
  <c r="I355" i="24"/>
  <c r="I356" i="24"/>
  <c r="I357" i="24"/>
  <c r="I358" i="24"/>
  <c r="I359" i="24"/>
  <c r="I360" i="24"/>
  <c r="I361" i="24"/>
  <c r="I362" i="24"/>
  <c r="I363" i="24"/>
  <c r="I364" i="24"/>
  <c r="I365" i="24"/>
  <c r="I366" i="24"/>
  <c r="I367" i="24"/>
  <c r="I368" i="24"/>
  <c r="I369" i="24"/>
  <c r="I370" i="24"/>
  <c r="I371" i="24"/>
  <c r="I372" i="24"/>
  <c r="I373" i="24"/>
  <c r="I374" i="24"/>
  <c r="I375" i="24"/>
  <c r="I376" i="24"/>
  <c r="I377" i="24"/>
  <c r="I378" i="24"/>
  <c r="I379" i="24"/>
  <c r="I380" i="24"/>
  <c r="I381" i="24"/>
  <c r="I382" i="24"/>
  <c r="I383" i="24"/>
  <c r="I384" i="24"/>
  <c r="I385" i="24"/>
  <c r="I386" i="24"/>
  <c r="I387" i="24"/>
  <c r="I388" i="24"/>
  <c r="I389" i="24"/>
  <c r="I390" i="24"/>
  <c r="I391" i="24"/>
  <c r="I392" i="24"/>
  <c r="I393" i="24"/>
  <c r="I394" i="24"/>
  <c r="I395" i="24"/>
  <c r="I396" i="24"/>
  <c r="I397" i="24"/>
  <c r="I398" i="24"/>
  <c r="I399" i="24"/>
  <c r="I400" i="24"/>
  <c r="I401" i="24"/>
  <c r="I402" i="24"/>
  <c r="I403" i="24"/>
  <c r="I404" i="24"/>
  <c r="I405" i="24"/>
  <c r="I406" i="24"/>
  <c r="I407" i="24"/>
  <c r="I408" i="24"/>
  <c r="I409" i="24"/>
  <c r="I410" i="24"/>
  <c r="I411" i="24"/>
  <c r="I412" i="24"/>
  <c r="I413" i="24"/>
  <c r="I414" i="24"/>
  <c r="I415" i="24"/>
  <c r="I416" i="24"/>
  <c r="I417" i="24"/>
  <c r="I418" i="24"/>
  <c r="I419" i="24"/>
  <c r="I420" i="24"/>
  <c r="I421" i="24"/>
  <c r="I422" i="24"/>
  <c r="I423" i="24"/>
  <c r="I424" i="24"/>
  <c r="I425" i="24"/>
  <c r="I426" i="24"/>
  <c r="I427" i="24"/>
  <c r="I428" i="24"/>
  <c r="I429" i="24"/>
  <c r="I430" i="24"/>
  <c r="I431" i="24"/>
  <c r="I432" i="24"/>
  <c r="I433" i="24"/>
  <c r="I435" i="24"/>
  <c r="I436" i="24"/>
  <c r="I437" i="24"/>
  <c r="I438" i="24"/>
  <c r="I439" i="24"/>
  <c r="I440" i="24"/>
  <c r="I441" i="24"/>
  <c r="I442" i="24"/>
  <c r="I443" i="24"/>
  <c r="I444" i="24"/>
  <c r="I445" i="24"/>
  <c r="I446" i="24"/>
  <c r="I447" i="24"/>
  <c r="I448" i="24"/>
  <c r="I449" i="24"/>
  <c r="I450" i="24"/>
  <c r="I451" i="24"/>
  <c r="I452" i="24"/>
  <c r="I453" i="24"/>
  <c r="I454" i="24"/>
  <c r="I455" i="24"/>
  <c r="I456" i="24"/>
  <c r="I457" i="24"/>
  <c r="I458" i="24"/>
  <c r="I459" i="24"/>
  <c r="I460" i="24"/>
  <c r="I461" i="24"/>
  <c r="I462" i="24"/>
  <c r="I463" i="24"/>
  <c r="I464" i="24"/>
  <c r="I465" i="24"/>
  <c r="I466" i="24"/>
  <c r="I467" i="24"/>
  <c r="I468" i="24"/>
  <c r="I469" i="24"/>
  <c r="I470" i="24"/>
  <c r="I471" i="24"/>
  <c r="I472" i="24"/>
  <c r="I473" i="24"/>
  <c r="I475" i="24"/>
  <c r="I476" i="24"/>
  <c r="I477" i="24"/>
  <c r="I478" i="24"/>
  <c r="I479" i="24"/>
  <c r="I480" i="24"/>
  <c r="I481" i="24"/>
  <c r="I482" i="24"/>
  <c r="I483" i="24"/>
  <c r="I484" i="24"/>
  <c r="I485" i="24"/>
  <c r="I486" i="24"/>
  <c r="I487" i="24"/>
  <c r="I488" i="24"/>
  <c r="I489" i="24"/>
  <c r="I490" i="24"/>
  <c r="I491" i="24"/>
  <c r="I492" i="24"/>
  <c r="I493" i="24"/>
  <c r="I494" i="24"/>
  <c r="I495" i="24"/>
  <c r="I496" i="24"/>
  <c r="I497" i="24"/>
  <c r="I498" i="24"/>
  <c r="I499" i="24"/>
  <c r="I500" i="24"/>
  <c r="I501" i="24"/>
  <c r="I502" i="24"/>
  <c r="I503" i="24"/>
  <c r="I504" i="24"/>
  <c r="I505" i="24"/>
  <c r="I506" i="24"/>
  <c r="I507" i="24"/>
  <c r="I508" i="24"/>
  <c r="I509" i="24"/>
  <c r="I510" i="24"/>
  <c r="I511" i="24"/>
  <c r="I512" i="24"/>
  <c r="I513" i="24"/>
  <c r="I514" i="24"/>
  <c r="I515" i="24"/>
  <c r="I516" i="24"/>
  <c r="I517" i="24"/>
  <c r="I518" i="24"/>
  <c r="I519" i="24"/>
  <c r="I520" i="24"/>
  <c r="I521" i="24"/>
  <c r="I522" i="24"/>
  <c r="I523" i="24"/>
  <c r="I524" i="24"/>
  <c r="I525" i="24"/>
  <c r="I526" i="24"/>
  <c r="I527" i="24"/>
  <c r="I528" i="24"/>
  <c r="I529" i="24"/>
  <c r="I530" i="24"/>
  <c r="I531" i="24"/>
  <c r="I532" i="24"/>
  <c r="I533" i="24"/>
  <c r="I534" i="24"/>
  <c r="I535" i="24"/>
  <c r="I536" i="24"/>
  <c r="I537" i="24"/>
  <c r="I538" i="24"/>
  <c r="I539" i="24"/>
  <c r="I540" i="24"/>
  <c r="I541" i="24"/>
  <c r="I542" i="24"/>
  <c r="I543" i="24"/>
  <c r="I544" i="24"/>
  <c r="I545" i="24"/>
  <c r="I546" i="24"/>
  <c r="I547" i="24"/>
  <c r="I548" i="24"/>
  <c r="I549" i="24"/>
  <c r="I550" i="24"/>
  <c r="I551" i="24"/>
  <c r="I552" i="24"/>
  <c r="I553" i="24"/>
  <c r="I554" i="24"/>
  <c r="I555" i="24"/>
  <c r="I556" i="24"/>
  <c r="I557" i="24"/>
  <c r="I558" i="24"/>
  <c r="I559" i="24"/>
  <c r="I560" i="24"/>
  <c r="I561" i="24"/>
  <c r="I563" i="24"/>
  <c r="I564" i="24"/>
  <c r="I565" i="24"/>
  <c r="I566" i="24"/>
  <c r="I567" i="24"/>
  <c r="I568" i="24"/>
  <c r="I569" i="24"/>
  <c r="I570" i="24"/>
  <c r="I571" i="24"/>
  <c r="I572" i="24"/>
  <c r="I573" i="24"/>
  <c r="I574" i="24"/>
  <c r="I575" i="24"/>
  <c r="I576" i="24"/>
  <c r="I577" i="24"/>
  <c r="I578" i="24"/>
  <c r="I579" i="24"/>
  <c r="I580" i="24"/>
  <c r="I581" i="24"/>
  <c r="I582" i="24"/>
  <c r="I583" i="24"/>
  <c r="I584" i="24"/>
  <c r="I585" i="24"/>
  <c r="I586" i="24"/>
  <c r="I587" i="24"/>
  <c r="I588" i="24"/>
  <c r="I589" i="24"/>
  <c r="I590" i="24"/>
  <c r="I591" i="24"/>
  <c r="I592" i="24"/>
  <c r="I593" i="24"/>
  <c r="I594" i="24"/>
  <c r="I595" i="24"/>
  <c r="I596" i="24"/>
  <c r="I597" i="24"/>
  <c r="I598" i="24"/>
  <c r="I599" i="24"/>
  <c r="I600" i="24"/>
  <c r="I601" i="24"/>
  <c r="I602" i="24"/>
  <c r="I603" i="24"/>
  <c r="I604" i="24"/>
  <c r="I605" i="24"/>
  <c r="I606" i="24"/>
  <c r="I607" i="24"/>
  <c r="I608" i="24"/>
  <c r="I609" i="24"/>
  <c r="I610" i="24"/>
  <c r="I611" i="24"/>
  <c r="I612" i="24"/>
  <c r="I613" i="24"/>
  <c r="I614" i="24"/>
  <c r="I616" i="24"/>
  <c r="I617" i="24"/>
  <c r="I618" i="24"/>
  <c r="I619" i="24"/>
  <c r="I620" i="24"/>
  <c r="I621" i="24"/>
  <c r="I622" i="24"/>
  <c r="I623" i="24"/>
  <c r="I624" i="24"/>
  <c r="I625" i="24"/>
  <c r="I626" i="24"/>
  <c r="I627" i="24"/>
  <c r="I628" i="24"/>
  <c r="I629" i="24"/>
  <c r="I630" i="24"/>
  <c r="I631" i="24"/>
  <c r="I632" i="24"/>
  <c r="I633" i="24"/>
  <c r="I634" i="24"/>
  <c r="I635" i="24"/>
  <c r="I636" i="24"/>
  <c r="I637" i="24"/>
  <c r="I638" i="24"/>
  <c r="I639" i="24"/>
  <c r="I640" i="24"/>
  <c r="I641" i="24"/>
  <c r="I642" i="24"/>
  <c r="I643" i="24"/>
  <c r="I644" i="24"/>
  <c r="I645" i="24"/>
  <c r="I646" i="24"/>
  <c r="I647" i="24"/>
  <c r="I648" i="24"/>
  <c r="I649" i="24"/>
  <c r="I650" i="24"/>
  <c r="I651" i="24"/>
  <c r="I652" i="24"/>
  <c r="I653" i="24"/>
  <c r="I654" i="24"/>
  <c r="I655" i="24"/>
  <c r="I656" i="24"/>
  <c r="I657" i="24"/>
  <c r="I658" i="24"/>
  <c r="I659" i="24"/>
  <c r="I660" i="24"/>
  <c r="I661" i="24"/>
  <c r="I662" i="24"/>
  <c r="I663" i="24"/>
  <c r="I664" i="24"/>
  <c r="I665" i="24"/>
  <c r="I666" i="24"/>
  <c r="I667" i="24"/>
  <c r="I668" i="24"/>
  <c r="I669" i="24"/>
  <c r="I670" i="24"/>
  <c r="I671" i="24"/>
  <c r="I672" i="24"/>
  <c r="I673" i="24"/>
  <c r="I674" i="24"/>
  <c r="I676" i="24"/>
  <c r="I677" i="24"/>
  <c r="I678" i="24"/>
  <c r="I679" i="24"/>
  <c r="I680" i="24"/>
  <c r="I681" i="24"/>
  <c r="I682" i="24"/>
  <c r="I683" i="24"/>
  <c r="I684" i="24"/>
  <c r="I685" i="24"/>
  <c r="I686" i="24"/>
  <c r="I687" i="24"/>
  <c r="I688" i="24"/>
  <c r="I689" i="24"/>
  <c r="I690" i="24"/>
  <c r="I691" i="24"/>
  <c r="I692" i="24"/>
  <c r="I693" i="24"/>
  <c r="I694" i="24"/>
  <c r="I695" i="24"/>
  <c r="I696" i="24"/>
  <c r="I697" i="24"/>
  <c r="I698" i="24"/>
  <c r="I699" i="24"/>
  <c r="I700" i="24"/>
  <c r="I701" i="24"/>
  <c r="I706" i="24"/>
  <c r="I707" i="24"/>
  <c r="I708" i="24"/>
  <c r="I709" i="24"/>
  <c r="I710" i="24"/>
  <c r="I711" i="24"/>
  <c r="I712" i="24"/>
  <c r="I713" i="24"/>
  <c r="I714" i="24"/>
  <c r="I715" i="24"/>
  <c r="I716" i="24"/>
  <c r="I717" i="24"/>
  <c r="I718" i="24"/>
  <c r="I719" i="24"/>
  <c r="I720" i="24"/>
  <c r="I721" i="24"/>
  <c r="I722" i="24"/>
  <c r="I723" i="24"/>
  <c r="I725" i="24"/>
  <c r="I726" i="24"/>
  <c r="I727" i="24"/>
  <c r="I728" i="24"/>
  <c r="I729" i="24"/>
  <c r="I730" i="24"/>
  <c r="I731" i="24"/>
  <c r="I732" i="24"/>
  <c r="I733" i="24"/>
  <c r="I734" i="24"/>
  <c r="I735" i="24"/>
  <c r="I736" i="24"/>
  <c r="I737" i="24"/>
  <c r="I738" i="24"/>
  <c r="I739" i="24"/>
  <c r="I740" i="24"/>
  <c r="I741" i="24"/>
  <c r="I742" i="24"/>
  <c r="I743" i="24"/>
  <c r="I744" i="24"/>
  <c r="I745" i="24"/>
  <c r="I746" i="24"/>
  <c r="I747" i="24"/>
  <c r="I748" i="24"/>
  <c r="I749" i="24"/>
  <c r="I750" i="24"/>
  <c r="I751" i="24"/>
  <c r="I752" i="24"/>
  <c r="I753" i="24"/>
  <c r="I754" i="24"/>
  <c r="I755" i="24"/>
  <c r="I756" i="24"/>
  <c r="I757" i="24"/>
  <c r="I758" i="24"/>
  <c r="I759" i="24"/>
  <c r="I760" i="24"/>
  <c r="I761" i="24"/>
  <c r="I762" i="24"/>
  <c r="I763" i="24"/>
  <c r="I764" i="24"/>
  <c r="I766" i="24"/>
  <c r="I767" i="24"/>
  <c r="I768" i="24"/>
  <c r="I769" i="24"/>
  <c r="I770" i="24"/>
  <c r="I771" i="24"/>
  <c r="I772" i="24"/>
  <c r="I773" i="24"/>
  <c r="I774" i="24"/>
  <c r="I775" i="24"/>
  <c r="I776" i="24"/>
  <c r="I777" i="24"/>
  <c r="I778" i="24"/>
  <c r="I779" i="24"/>
  <c r="I780" i="24"/>
  <c r="I781" i="24"/>
  <c r="I782" i="24"/>
  <c r="I783" i="24"/>
  <c r="I784" i="24"/>
  <c r="I785" i="24"/>
  <c r="I786" i="24"/>
  <c r="I787" i="24"/>
  <c r="I788" i="24"/>
  <c r="I789" i="24"/>
  <c r="I790" i="24"/>
  <c r="I791" i="24"/>
  <c r="I792" i="24"/>
  <c r="I793" i="24"/>
  <c r="I794" i="24"/>
  <c r="I795" i="24"/>
  <c r="I796" i="24"/>
  <c r="I797" i="24"/>
  <c r="I798" i="24"/>
  <c r="I799" i="24"/>
  <c r="I800" i="24"/>
  <c r="I801" i="24"/>
  <c r="I802" i="24"/>
  <c r="I803" i="24"/>
  <c r="I804" i="24"/>
  <c r="I805" i="24"/>
  <c r="I806" i="24"/>
  <c r="I807" i="24"/>
  <c r="I808" i="24"/>
  <c r="I809" i="24"/>
  <c r="I810" i="24"/>
  <c r="I811" i="24"/>
  <c r="I812" i="24"/>
  <c r="I813" i="24"/>
  <c r="I814" i="24"/>
  <c r="I815" i="24"/>
  <c r="I816" i="24"/>
  <c r="I817" i="24"/>
  <c r="I818" i="24"/>
  <c r="I820" i="24"/>
  <c r="I821" i="24"/>
  <c r="I822" i="24"/>
  <c r="I823" i="24"/>
  <c r="I824" i="24"/>
  <c r="I825" i="24"/>
  <c r="I826" i="24"/>
  <c r="I827" i="24"/>
  <c r="I828" i="24"/>
  <c r="I829" i="24"/>
  <c r="I830" i="24"/>
  <c r="I831" i="24"/>
  <c r="I832" i="24"/>
  <c r="I833" i="24"/>
  <c r="I834" i="24"/>
  <c r="I835" i="24"/>
  <c r="I836" i="24"/>
  <c r="I837" i="24"/>
  <c r="I838" i="24"/>
  <c r="I839" i="24"/>
  <c r="I840" i="24"/>
  <c r="I841" i="24"/>
  <c r="I842" i="24"/>
  <c r="I843" i="24"/>
  <c r="I844" i="24"/>
  <c r="I845" i="24"/>
  <c r="I846" i="24"/>
  <c r="I847" i="24"/>
  <c r="I848" i="24"/>
  <c r="I849" i="24"/>
  <c r="I850" i="24"/>
  <c r="I851" i="24"/>
  <c r="I852" i="24"/>
  <c r="I853" i="24"/>
  <c r="I854" i="24"/>
  <c r="I855" i="24"/>
  <c r="I856" i="24"/>
  <c r="I857" i="24"/>
  <c r="I858" i="24"/>
  <c r="I859" i="24"/>
  <c r="I860" i="24"/>
  <c r="I861" i="24"/>
  <c r="I862" i="24"/>
  <c r="I863" i="24"/>
  <c r="I864" i="24"/>
  <c r="I865" i="24"/>
  <c r="I866" i="24"/>
  <c r="I867" i="24"/>
  <c r="I868" i="24"/>
  <c r="I869" i="24"/>
  <c r="I870" i="24"/>
  <c r="I871" i="24"/>
  <c r="I872" i="24"/>
  <c r="I873" i="24"/>
  <c r="I874" i="24"/>
  <c r="I875" i="24"/>
  <c r="I876" i="24"/>
  <c r="I877" i="24"/>
  <c r="I878" i="24"/>
  <c r="I879" i="24"/>
  <c r="I881" i="24"/>
  <c r="I882" i="24"/>
  <c r="I883" i="24"/>
  <c r="I884" i="24"/>
  <c r="I885" i="24"/>
  <c r="I886" i="24"/>
  <c r="I887" i="24"/>
  <c r="I888" i="24"/>
  <c r="I889" i="24"/>
  <c r="I890" i="24"/>
  <c r="I891" i="24"/>
  <c r="I892" i="24"/>
  <c r="I893" i="24"/>
  <c r="I894" i="24"/>
  <c r="I895" i="24"/>
  <c r="I896" i="24"/>
  <c r="I897" i="24"/>
  <c r="I898" i="24"/>
  <c r="I899" i="24"/>
  <c r="I900" i="24"/>
  <c r="I901" i="24"/>
  <c r="I902" i="24"/>
  <c r="I903" i="24"/>
  <c r="I904" i="24"/>
  <c r="I905" i="24"/>
  <c r="I906" i="24"/>
  <c r="I907" i="24"/>
  <c r="I908" i="24"/>
  <c r="I909" i="24"/>
  <c r="I910" i="24"/>
  <c r="I911" i="24"/>
  <c r="I912" i="24"/>
  <c r="I913" i="24"/>
  <c r="I914" i="24"/>
  <c r="I915" i="24"/>
  <c r="I916" i="24"/>
  <c r="I917" i="24"/>
  <c r="I918" i="24"/>
  <c r="I920" i="24"/>
  <c r="I921" i="24"/>
  <c r="I922" i="24"/>
  <c r="I923" i="24"/>
  <c r="I924" i="24"/>
  <c r="I925" i="24"/>
  <c r="I926" i="24"/>
  <c r="I927" i="24"/>
  <c r="I928" i="24"/>
  <c r="I929" i="24"/>
  <c r="I930" i="24"/>
  <c r="I931" i="24"/>
  <c r="I932" i="24"/>
  <c r="I933" i="24"/>
  <c r="I934" i="24"/>
  <c r="I935" i="24"/>
  <c r="I936" i="24"/>
  <c r="I937" i="24"/>
  <c r="I938" i="24"/>
  <c r="I939" i="24"/>
  <c r="I940" i="24"/>
  <c r="I941" i="24"/>
  <c r="I942" i="24"/>
  <c r="I943" i="24"/>
  <c r="I944" i="24"/>
  <c r="I945" i="24"/>
  <c r="I946" i="24"/>
  <c r="I947" i="24"/>
  <c r="I948" i="24"/>
  <c r="I949" i="24"/>
  <c r="I950" i="24"/>
  <c r="I951" i="24"/>
  <c r="I952" i="24"/>
  <c r="I953" i="24"/>
  <c r="I954" i="24"/>
  <c r="I955" i="24"/>
  <c r="I956" i="24"/>
  <c r="I957" i="24"/>
  <c r="I958" i="24"/>
  <c r="I959" i="24"/>
  <c r="I960" i="24"/>
  <c r="I961" i="24"/>
  <c r="I962" i="24"/>
  <c r="I963" i="24"/>
  <c r="I964" i="24"/>
  <c r="I965" i="24"/>
  <c r="I966" i="24"/>
  <c r="I967" i="24"/>
  <c r="I968" i="24"/>
  <c r="I969" i="24"/>
  <c r="I970" i="24"/>
  <c r="I971" i="24"/>
  <c r="I972" i="24"/>
  <c r="I973" i="24"/>
  <c r="I974" i="24"/>
  <c r="I975" i="24"/>
  <c r="I976" i="24"/>
  <c r="I977" i="24"/>
  <c r="I978" i="24"/>
  <c r="I979" i="24"/>
  <c r="I980" i="24"/>
  <c r="I981" i="24"/>
  <c r="I982" i="24"/>
  <c r="I983" i="24"/>
  <c r="I984" i="24"/>
  <c r="I985" i="24"/>
  <c r="I986" i="24"/>
  <c r="I987" i="24"/>
  <c r="I988" i="24"/>
  <c r="I989" i="24"/>
  <c r="I990" i="24"/>
  <c r="I991" i="24"/>
  <c r="I992" i="24"/>
  <c r="I993" i="24"/>
  <c r="I994" i="24"/>
  <c r="I995" i="24"/>
  <c r="I996" i="24"/>
  <c r="I997" i="24"/>
  <c r="I999" i="24"/>
  <c r="I1000" i="24"/>
  <c r="I1001" i="24"/>
  <c r="I1002" i="24"/>
  <c r="I1003" i="24"/>
  <c r="I1004" i="24"/>
  <c r="I1005" i="24"/>
  <c r="I1006" i="24"/>
  <c r="I1007" i="24"/>
  <c r="I1008" i="24"/>
  <c r="I1009" i="24"/>
  <c r="I1010" i="24"/>
  <c r="I1011" i="24"/>
  <c r="I1012" i="24"/>
  <c r="I1013" i="24"/>
  <c r="I1014" i="24"/>
  <c r="I1015" i="24"/>
  <c r="I1016" i="24"/>
  <c r="I1017" i="24"/>
  <c r="I1018" i="24"/>
  <c r="I1019" i="24"/>
  <c r="I1020" i="24"/>
  <c r="I1021" i="24"/>
  <c r="I1022" i="24"/>
  <c r="I1023" i="24"/>
  <c r="I1024" i="24"/>
  <c r="I1025" i="24"/>
  <c r="I1026" i="24"/>
  <c r="I1027" i="24"/>
  <c r="I1028" i="24"/>
  <c r="I1029" i="24"/>
  <c r="I1030" i="24"/>
  <c r="I1031" i="24"/>
  <c r="I1032" i="24"/>
  <c r="I1033" i="24"/>
  <c r="I1034" i="24"/>
  <c r="I1035" i="24"/>
  <c r="I1036" i="24"/>
  <c r="I1037" i="24"/>
  <c r="I1038" i="24"/>
  <c r="I1039" i="24"/>
  <c r="I1040" i="24"/>
  <c r="I1041" i="24"/>
  <c r="I1042" i="24"/>
  <c r="I1043" i="24"/>
  <c r="I1044" i="24"/>
  <c r="I1045" i="24"/>
  <c r="I1046" i="24"/>
  <c r="I1047" i="24"/>
  <c r="I1048" i="24"/>
  <c r="I1049" i="24"/>
  <c r="I1050" i="24"/>
  <c r="I1051" i="24"/>
  <c r="I1052" i="24"/>
  <c r="I1053" i="24"/>
  <c r="I1054" i="24"/>
  <c r="I1055" i="24"/>
  <c r="I1056" i="24"/>
  <c r="I1057" i="24"/>
  <c r="I1058" i="24"/>
  <c r="I1059" i="24"/>
  <c r="I1060" i="24"/>
  <c r="I1061" i="24"/>
  <c r="I1062" i="24"/>
  <c r="I1063" i="24"/>
  <c r="I1064" i="24"/>
  <c r="I1065" i="24"/>
  <c r="I1066" i="24"/>
  <c r="I1067" i="24"/>
  <c r="I1068" i="24"/>
  <c r="I1069" i="24"/>
  <c r="I1070" i="24"/>
  <c r="I1071" i="24"/>
  <c r="I1072" i="24"/>
  <c r="I1073" i="24"/>
  <c r="I1074" i="24"/>
  <c r="I1075" i="24"/>
  <c r="I1076" i="24"/>
  <c r="I1077" i="24"/>
  <c r="I1078" i="24"/>
  <c r="I1079" i="24"/>
  <c r="I1080" i="24"/>
  <c r="I1081" i="24"/>
  <c r="I1082" i="24"/>
  <c r="I1083" i="24"/>
  <c r="I1084" i="24"/>
  <c r="I1085" i="24"/>
  <c r="I1086" i="24"/>
  <c r="I1087" i="24"/>
  <c r="I1088" i="24"/>
  <c r="I1089" i="24"/>
  <c r="I1090" i="24"/>
  <c r="I1091" i="24"/>
  <c r="I1092" i="24"/>
  <c r="I1093" i="24"/>
  <c r="I1094" i="24"/>
  <c r="I1095" i="24"/>
  <c r="I1096" i="24"/>
  <c r="I1097" i="24"/>
  <c r="I1099" i="24"/>
  <c r="I1100" i="24"/>
  <c r="I1101" i="24"/>
  <c r="I1102" i="24"/>
  <c r="I1103" i="24"/>
  <c r="I1104" i="24"/>
  <c r="I1105" i="24"/>
  <c r="I1106" i="24"/>
  <c r="I1107" i="24"/>
  <c r="I1108" i="24"/>
  <c r="I1109" i="24"/>
  <c r="I1110" i="24"/>
  <c r="I1111" i="24"/>
  <c r="I1112" i="24"/>
  <c r="I1113" i="24"/>
  <c r="I1114" i="24"/>
  <c r="I1115" i="24"/>
  <c r="I1116" i="24"/>
  <c r="I1117" i="24"/>
  <c r="I1118" i="24"/>
  <c r="I1119" i="24"/>
  <c r="I1120" i="24"/>
  <c r="I1121" i="24"/>
  <c r="I1122" i="24"/>
  <c r="I1123" i="24"/>
  <c r="I1124" i="24"/>
  <c r="I1125" i="24"/>
  <c r="I1126" i="24"/>
  <c r="I1127" i="24"/>
  <c r="I1128" i="24"/>
  <c r="I1129" i="24"/>
  <c r="I1130" i="24"/>
  <c r="I1131" i="24"/>
  <c r="I1132" i="24"/>
  <c r="I1133" i="24"/>
  <c r="I1134" i="24"/>
  <c r="I1135" i="24"/>
  <c r="I1136" i="24"/>
  <c r="I1137" i="24"/>
  <c r="I1138" i="24"/>
  <c r="I1139" i="24"/>
  <c r="I1140" i="24"/>
  <c r="I1141" i="24"/>
  <c r="I1142" i="24"/>
  <c r="I1143" i="24"/>
  <c r="I1144" i="24"/>
  <c r="I1145" i="24"/>
  <c r="I1146" i="24"/>
  <c r="I1147" i="24"/>
  <c r="I1148" i="24"/>
  <c r="I1149" i="24"/>
  <c r="I1150" i="24"/>
  <c r="I1151" i="24"/>
  <c r="I1152" i="24"/>
  <c r="I1153" i="24"/>
  <c r="I1154" i="24"/>
  <c r="I1155" i="24"/>
  <c r="I1156" i="24"/>
  <c r="I1157" i="24"/>
  <c r="I1158" i="24"/>
  <c r="I1159" i="24"/>
  <c r="I1160" i="24"/>
  <c r="I1161" i="24"/>
  <c r="I1162" i="24"/>
  <c r="I1163" i="24"/>
  <c r="I1164" i="24"/>
  <c r="I1166" i="24"/>
  <c r="I1167" i="24"/>
  <c r="I1168" i="24"/>
  <c r="I1169" i="24"/>
  <c r="I1170" i="24"/>
  <c r="I1171" i="24"/>
  <c r="I1172" i="24"/>
  <c r="I1173" i="24"/>
  <c r="I1174" i="24"/>
  <c r="I1175" i="24"/>
  <c r="I1176" i="24"/>
  <c r="I1177" i="24"/>
  <c r="I1178" i="24"/>
  <c r="I1179" i="24"/>
  <c r="I1180" i="24"/>
  <c r="I1181" i="24"/>
  <c r="I1182" i="24"/>
  <c r="I1183" i="24"/>
  <c r="I1184" i="24"/>
  <c r="I1185" i="24"/>
  <c r="I1186" i="24"/>
  <c r="I1187" i="24"/>
  <c r="I1188" i="24"/>
  <c r="I1189" i="24"/>
  <c r="I1190" i="24"/>
  <c r="I1191" i="24"/>
  <c r="I1192" i="24"/>
  <c r="I1193" i="24"/>
  <c r="I1194" i="24"/>
  <c r="I1195" i="24"/>
  <c r="I1196" i="24"/>
  <c r="I1197" i="24"/>
  <c r="I1198" i="24"/>
  <c r="I1199" i="24"/>
  <c r="I1200" i="24"/>
  <c r="I1201" i="24"/>
  <c r="I1202" i="24"/>
  <c r="I1203" i="24"/>
  <c r="I1204" i="24"/>
  <c r="I1205" i="24"/>
  <c r="I1206" i="24"/>
  <c r="I1207" i="24"/>
  <c r="I1208" i="24"/>
  <c r="I1209" i="24"/>
  <c r="I1210" i="24"/>
  <c r="I1211" i="24"/>
  <c r="I1212" i="24"/>
  <c r="I1213" i="24"/>
  <c r="I1214" i="24"/>
  <c r="I1215" i="24"/>
  <c r="I1216" i="24"/>
  <c r="I1217" i="24"/>
  <c r="I1218" i="24"/>
  <c r="I1219" i="24"/>
  <c r="I1220" i="24"/>
  <c r="I1221" i="24"/>
  <c r="I1222" i="24"/>
  <c r="I1223" i="24"/>
  <c r="I1224" i="24"/>
  <c r="I1225" i="24"/>
  <c r="I1226" i="24"/>
  <c r="I1227" i="24"/>
  <c r="I1228" i="24"/>
  <c r="I1229" i="24"/>
  <c r="I1230" i="24"/>
  <c r="I1231" i="24"/>
  <c r="I1232" i="24"/>
  <c r="I1233" i="24"/>
  <c r="I1234" i="24"/>
  <c r="I1235" i="24"/>
  <c r="I1236" i="24"/>
  <c r="I1237" i="24"/>
  <c r="I1238" i="24"/>
  <c r="I1239" i="24"/>
  <c r="I1240" i="24"/>
  <c r="I1241" i="24"/>
  <c r="I1242" i="24"/>
  <c r="I1243" i="24"/>
  <c r="I1244" i="24"/>
  <c r="I1245" i="24"/>
  <c r="I1246" i="24"/>
  <c r="I1247" i="24"/>
  <c r="I1248" i="24"/>
  <c r="I1249" i="24"/>
  <c r="I1250" i="24"/>
  <c r="I1251" i="24"/>
  <c r="I1252" i="24"/>
  <c r="I1253" i="24"/>
  <c r="I1254" i="24"/>
  <c r="I1255" i="24"/>
  <c r="I1256" i="24"/>
  <c r="I1257" i="24"/>
  <c r="I1258" i="24"/>
  <c r="I1259" i="24"/>
  <c r="I1260" i="24"/>
  <c r="I1261" i="24"/>
  <c r="I1262" i="24"/>
  <c r="I1263" i="24"/>
  <c r="I1265" i="24"/>
  <c r="I1266" i="24"/>
  <c r="I1267" i="24"/>
  <c r="I1268" i="24"/>
  <c r="I1269" i="24"/>
  <c r="I1270" i="24"/>
  <c r="I1271" i="24"/>
  <c r="I1272" i="24"/>
  <c r="I1273" i="24"/>
  <c r="I1274" i="24"/>
  <c r="I1275" i="24"/>
  <c r="I1276" i="24"/>
  <c r="I1277" i="24"/>
  <c r="I1278" i="24"/>
  <c r="I1279" i="24"/>
  <c r="I1280" i="24"/>
  <c r="I1281" i="24"/>
  <c r="I1282" i="24"/>
  <c r="I1283" i="24"/>
  <c r="I1284" i="24"/>
  <c r="I1285" i="24"/>
  <c r="I1286" i="24"/>
  <c r="I1287" i="24"/>
  <c r="I1288" i="24"/>
  <c r="I1289" i="24"/>
  <c r="I1290" i="24"/>
  <c r="I1291" i="24"/>
  <c r="I1292" i="24"/>
  <c r="I1293" i="24"/>
  <c r="I1294" i="24"/>
  <c r="I1295" i="24"/>
  <c r="I1296" i="24"/>
  <c r="I1297" i="24"/>
  <c r="I1298" i="24"/>
  <c r="I1299" i="24"/>
  <c r="I1300" i="24"/>
  <c r="I1301" i="24"/>
  <c r="I1302" i="24"/>
  <c r="I1303" i="24"/>
  <c r="I1304" i="24"/>
  <c r="I1305" i="24"/>
  <c r="I1306" i="24"/>
  <c r="I1307" i="24"/>
  <c r="I1308" i="24"/>
  <c r="I1309" i="24"/>
  <c r="I1310" i="24"/>
  <c r="I1311" i="24"/>
  <c r="I1312" i="24"/>
  <c r="I1313" i="24"/>
  <c r="I1314" i="24"/>
  <c r="I1315" i="24"/>
  <c r="I1316" i="24"/>
  <c r="I1317" i="24"/>
  <c r="I1318" i="24"/>
  <c r="I1319" i="24"/>
  <c r="I1320" i="24"/>
  <c r="I1321" i="24"/>
  <c r="I1322" i="24"/>
  <c r="I1323" i="24"/>
  <c r="I1324" i="24"/>
  <c r="I1325" i="24"/>
  <c r="I1326" i="24"/>
  <c r="I1327" i="24"/>
  <c r="I1328" i="24"/>
  <c r="I1329" i="24"/>
  <c r="I1330" i="24"/>
  <c r="I1331" i="24"/>
  <c r="I1332" i="24"/>
  <c r="I1333" i="24"/>
  <c r="I1334" i="24"/>
  <c r="I1335" i="24"/>
  <c r="I1336" i="24"/>
  <c r="I1337" i="24"/>
  <c r="I1338" i="24"/>
  <c r="I1339" i="24"/>
  <c r="I1340" i="24"/>
  <c r="I1341" i="24"/>
  <c r="I1342" i="24"/>
  <c r="I1343" i="24"/>
  <c r="I1344" i="24"/>
  <c r="I1345" i="24"/>
  <c r="I1346" i="24"/>
  <c r="I1347" i="24"/>
  <c r="I1348" i="24"/>
  <c r="I1349" i="24"/>
  <c r="I1350" i="24"/>
  <c r="I1351" i="24"/>
  <c r="I1352" i="24"/>
  <c r="I1353" i="24"/>
  <c r="I1354" i="24"/>
  <c r="I1355" i="24"/>
  <c r="I1356" i="24"/>
  <c r="I1357" i="24"/>
  <c r="I1358" i="24"/>
  <c r="I1359" i="24"/>
  <c r="I1360" i="24"/>
  <c r="I1361" i="24"/>
  <c r="I1362" i="24"/>
  <c r="I1363" i="24"/>
  <c r="I1364" i="24"/>
  <c r="I1365" i="24"/>
  <c r="I1366" i="24"/>
  <c r="I1367" i="24"/>
  <c r="I1368" i="24"/>
  <c r="I1369" i="24"/>
  <c r="I1370" i="24"/>
  <c r="I1371" i="24"/>
  <c r="I1372" i="24"/>
  <c r="I1373" i="24"/>
  <c r="I1374" i="24"/>
  <c r="I1375" i="24"/>
  <c r="I1376" i="24"/>
  <c r="I1377" i="24"/>
  <c r="I1378" i="24"/>
  <c r="I1379" i="24"/>
  <c r="I1380" i="24"/>
  <c r="I1381" i="24"/>
  <c r="I1382" i="24"/>
  <c r="I1383" i="24"/>
  <c r="I1384" i="24"/>
  <c r="I1385" i="24"/>
  <c r="I1387" i="24"/>
  <c r="I1388" i="24"/>
  <c r="I1389" i="24"/>
  <c r="I1390" i="24"/>
  <c r="I1391" i="24"/>
  <c r="I1392" i="24"/>
  <c r="I1393" i="24"/>
  <c r="I1394" i="24"/>
  <c r="I1395" i="24"/>
  <c r="I1396" i="24"/>
  <c r="I1397" i="24"/>
  <c r="I1398" i="24"/>
  <c r="I1399" i="24"/>
  <c r="I1400" i="24"/>
  <c r="I1401" i="24"/>
  <c r="I1402" i="24"/>
  <c r="I1403" i="24"/>
  <c r="I1404" i="24"/>
  <c r="I1405" i="24"/>
  <c r="I1406" i="24"/>
  <c r="I1407" i="24"/>
  <c r="I1408" i="24"/>
  <c r="I1409" i="24"/>
  <c r="I1410" i="24"/>
  <c r="I1411" i="24"/>
  <c r="I1412" i="24"/>
  <c r="I1413" i="24"/>
  <c r="I1414" i="24"/>
  <c r="I1415" i="24"/>
  <c r="I1416" i="24"/>
  <c r="I1417" i="24"/>
  <c r="I1418" i="24"/>
  <c r="I1419" i="24"/>
  <c r="I1420" i="24"/>
  <c r="I1421" i="24"/>
  <c r="I1422" i="24"/>
  <c r="I1423" i="24"/>
  <c r="I1424" i="24"/>
  <c r="I1425" i="24"/>
  <c r="I1426" i="24"/>
  <c r="I1427" i="24"/>
  <c r="I1428" i="24"/>
  <c r="I1429" i="24"/>
  <c r="I1430" i="24"/>
  <c r="I1431" i="24"/>
  <c r="I1432" i="24"/>
  <c r="I1433" i="24"/>
  <c r="I1434" i="24"/>
  <c r="I1435" i="24"/>
  <c r="I1436" i="24"/>
  <c r="I1437" i="24"/>
  <c r="I1438" i="24"/>
  <c r="I1439" i="24"/>
  <c r="I1440" i="24"/>
  <c r="I1441" i="24"/>
  <c r="I1442" i="24"/>
  <c r="I1443" i="24"/>
  <c r="I1444" i="24"/>
  <c r="I1445" i="24"/>
  <c r="I1446" i="24"/>
  <c r="I1447" i="24"/>
  <c r="I1448" i="24"/>
  <c r="I1449" i="24"/>
  <c r="I1450" i="24"/>
  <c r="I1451" i="24"/>
  <c r="I1452" i="24"/>
  <c r="I1453" i="24"/>
  <c r="I1454" i="24"/>
  <c r="I1455" i="24"/>
  <c r="I1457" i="24"/>
  <c r="I1458" i="24"/>
  <c r="I1459" i="24"/>
  <c r="I1460" i="24"/>
  <c r="I1461" i="24"/>
  <c r="I1462" i="24"/>
  <c r="I1463" i="24"/>
  <c r="I1464" i="24"/>
  <c r="I1465" i="24"/>
  <c r="I1466" i="24"/>
  <c r="I1467" i="24"/>
  <c r="I1468" i="24"/>
  <c r="I1469" i="24"/>
  <c r="I1470" i="24"/>
  <c r="I1471" i="24"/>
  <c r="I1472" i="24"/>
  <c r="I1473" i="24"/>
  <c r="I1474" i="24"/>
  <c r="I1475" i="24"/>
  <c r="I1476" i="24"/>
  <c r="I1477" i="24"/>
  <c r="I1478" i="24"/>
  <c r="I1479" i="24"/>
  <c r="I1480" i="24"/>
  <c r="I1481" i="24"/>
  <c r="I1482" i="24"/>
  <c r="I1483" i="24"/>
  <c r="I1484" i="24"/>
  <c r="I1485" i="24"/>
  <c r="I1486" i="24"/>
  <c r="I1487" i="24"/>
  <c r="I1488" i="24"/>
  <c r="I1489" i="24"/>
  <c r="I1490" i="24"/>
  <c r="I1491" i="24"/>
  <c r="I1492" i="24"/>
  <c r="I1493" i="24"/>
  <c r="I1494" i="24"/>
  <c r="I1495" i="24"/>
  <c r="I1496" i="24"/>
  <c r="I1497" i="24"/>
  <c r="I1498" i="24"/>
  <c r="I1499" i="24"/>
  <c r="I1500" i="24"/>
  <c r="I1501" i="24"/>
  <c r="I1502" i="24"/>
  <c r="I1503" i="24"/>
  <c r="I1504" i="24"/>
  <c r="I1505" i="24"/>
  <c r="I1506" i="24"/>
  <c r="I1507" i="24"/>
  <c r="I1508" i="24"/>
  <c r="I1509" i="24"/>
  <c r="I1510" i="24"/>
  <c r="I1511" i="24"/>
  <c r="I1512" i="24"/>
  <c r="I1513" i="24"/>
  <c r="I1514" i="24"/>
  <c r="I1515" i="24"/>
  <c r="I1516" i="24"/>
  <c r="I1517" i="24"/>
  <c r="I1518" i="24"/>
  <c r="I1519" i="24"/>
  <c r="I1520" i="24"/>
  <c r="I1521" i="24"/>
  <c r="I1522" i="24"/>
  <c r="I1523" i="24"/>
  <c r="I1524" i="24"/>
  <c r="I1525" i="24"/>
  <c r="I1526" i="24"/>
  <c r="I1527" i="24"/>
  <c r="I1528" i="24"/>
  <c r="I1529" i="24"/>
  <c r="I1530" i="24"/>
  <c r="I1531" i="24"/>
  <c r="I1532" i="24"/>
  <c r="I1533" i="24"/>
  <c r="I1535" i="24"/>
  <c r="I1536" i="24"/>
  <c r="I1537" i="24"/>
  <c r="I1538" i="24"/>
  <c r="I1539" i="24"/>
  <c r="I1540" i="24"/>
  <c r="I1541" i="24"/>
  <c r="I1542" i="24"/>
  <c r="I1543" i="24"/>
  <c r="I1544" i="24"/>
  <c r="I1545" i="24"/>
  <c r="I1546" i="24"/>
  <c r="I1547" i="24"/>
  <c r="I1548" i="24"/>
  <c r="I1549" i="24"/>
  <c r="I1550" i="24"/>
  <c r="I1551" i="24"/>
  <c r="I1552" i="24"/>
  <c r="I1553" i="24"/>
  <c r="I1554" i="24"/>
  <c r="I1555" i="24"/>
  <c r="I1556" i="24"/>
  <c r="I1557" i="24"/>
  <c r="I1558" i="24"/>
  <c r="I1559" i="24"/>
  <c r="I1560" i="24"/>
  <c r="I1561" i="24"/>
  <c r="I1562" i="24"/>
  <c r="I1563" i="24"/>
  <c r="I1564" i="24"/>
  <c r="I1565" i="24"/>
  <c r="I1566" i="24"/>
  <c r="I1567" i="24"/>
  <c r="I1568" i="24"/>
  <c r="I1569" i="24"/>
  <c r="I1570" i="24"/>
  <c r="I1571" i="24"/>
  <c r="I1572" i="24"/>
  <c r="I1573" i="24"/>
  <c r="I1574" i="24"/>
  <c r="I1575" i="24"/>
  <c r="I1576" i="24"/>
  <c r="I1577" i="24"/>
  <c r="I1578" i="24"/>
  <c r="I1579" i="24"/>
  <c r="I1580" i="24"/>
  <c r="I1581" i="24"/>
  <c r="I1582" i="24"/>
  <c r="I1584" i="24"/>
  <c r="I1585" i="24"/>
  <c r="I1586" i="24"/>
  <c r="I1587" i="24"/>
  <c r="I1588" i="24"/>
  <c r="I1589" i="24"/>
  <c r="I1590" i="24"/>
  <c r="I1591" i="24"/>
  <c r="I1592" i="24"/>
  <c r="I1593" i="24"/>
  <c r="I1594" i="24"/>
  <c r="I1595" i="24"/>
  <c r="I1596" i="24"/>
  <c r="I1597" i="24"/>
  <c r="I1598" i="24"/>
  <c r="I1599" i="24"/>
  <c r="I1600" i="24"/>
  <c r="I1601" i="24"/>
  <c r="I1602" i="24"/>
  <c r="I1603" i="24"/>
  <c r="I1604" i="24"/>
  <c r="I1605" i="24"/>
  <c r="I1606" i="24"/>
  <c r="I1607" i="24"/>
  <c r="I1608" i="24"/>
  <c r="I1609" i="24"/>
  <c r="I1610" i="24"/>
  <c r="I1611" i="24"/>
  <c r="I1612" i="24"/>
  <c r="I1613" i="24"/>
  <c r="I1614" i="24"/>
  <c r="I1615" i="24"/>
  <c r="I1616" i="24"/>
  <c r="I1617" i="24"/>
  <c r="I1618" i="24"/>
  <c r="I1619" i="24"/>
  <c r="I1620" i="24"/>
  <c r="I1621" i="24"/>
  <c r="I1622" i="24"/>
  <c r="I1623" i="24"/>
  <c r="I1624" i="24"/>
  <c r="I1625" i="24"/>
  <c r="I1626" i="24"/>
  <c r="I1627" i="24"/>
  <c r="I1628" i="24"/>
  <c r="I1629" i="24"/>
  <c r="I1630" i="24"/>
  <c r="I1631" i="24"/>
  <c r="I1632" i="24"/>
  <c r="I1633" i="24"/>
  <c r="I1634" i="24"/>
  <c r="I1635" i="24"/>
  <c r="I1636" i="24"/>
  <c r="I1637" i="24"/>
  <c r="I1638" i="24"/>
  <c r="I1639" i="24"/>
  <c r="I1640" i="24"/>
  <c r="I1641" i="24"/>
  <c r="I1642" i="24"/>
  <c r="I1643" i="24"/>
  <c r="I1644" i="24"/>
  <c r="I1645" i="24"/>
  <c r="I1646" i="24"/>
  <c r="I1647" i="24"/>
  <c r="I1648" i="24"/>
  <c r="I1649" i="24"/>
  <c r="I1650" i="24"/>
  <c r="I1651" i="24"/>
  <c r="I1652" i="24"/>
  <c r="I1653" i="24"/>
  <c r="I1654" i="24"/>
  <c r="I1655" i="24"/>
  <c r="I1656" i="24"/>
  <c r="I1657" i="24"/>
  <c r="I1658" i="24"/>
  <c r="I1659" i="24"/>
  <c r="I1660" i="24"/>
  <c r="I1661" i="24"/>
  <c r="I1662" i="24"/>
  <c r="I1663" i="24"/>
  <c r="I1664" i="24"/>
  <c r="I1665" i="24"/>
  <c r="I1666" i="24"/>
  <c r="I1667" i="24"/>
  <c r="I1668" i="24"/>
  <c r="I1669" i="24"/>
  <c r="I1670" i="24"/>
  <c r="I1671" i="24"/>
  <c r="I1672" i="24"/>
  <c r="I1673" i="24"/>
  <c r="I1674" i="24"/>
  <c r="I1675" i="24"/>
  <c r="I1676" i="24"/>
  <c r="I1677" i="24"/>
  <c r="I1678" i="24"/>
  <c r="I1679" i="24"/>
  <c r="I1680" i="24"/>
  <c r="I1681" i="24"/>
  <c r="I1682" i="24"/>
  <c r="I1683" i="24"/>
  <c r="I1684" i="24"/>
  <c r="I1685" i="24"/>
  <c r="I1686" i="24"/>
  <c r="I1687" i="24"/>
  <c r="I1688" i="24"/>
  <c r="I1689" i="24"/>
  <c r="I1690" i="24"/>
  <c r="I1691" i="24"/>
  <c r="I1692" i="24"/>
  <c r="I1693" i="24"/>
  <c r="I1694" i="24"/>
  <c r="I1695" i="24"/>
  <c r="I1696" i="24"/>
  <c r="I1697" i="24"/>
  <c r="I1698" i="24"/>
  <c r="I1699" i="24"/>
  <c r="I1700" i="24"/>
  <c r="I1701" i="24"/>
  <c r="I1702" i="24"/>
  <c r="I1703" i="24"/>
  <c r="I1704" i="24"/>
  <c r="I1705" i="24"/>
  <c r="I1706" i="24"/>
  <c r="I1707" i="24"/>
  <c r="I1708" i="24"/>
  <c r="I1709" i="24"/>
  <c r="I1710" i="24"/>
  <c r="I1711" i="24"/>
  <c r="I1712" i="24"/>
  <c r="I1713" i="24"/>
  <c r="I1714" i="24"/>
  <c r="I1715" i="24"/>
  <c r="I1716" i="24"/>
  <c r="I1717" i="24"/>
  <c r="I1718" i="24"/>
  <c r="I1719" i="24"/>
  <c r="I1720" i="24"/>
  <c r="I1721" i="24"/>
  <c r="I1722" i="24"/>
  <c r="I1723" i="24"/>
  <c r="I1724" i="24"/>
  <c r="I1725" i="24"/>
  <c r="I1726" i="24"/>
  <c r="I1727" i="24"/>
  <c r="I1728" i="24"/>
  <c r="I1729" i="24"/>
  <c r="I1730" i="24"/>
  <c r="I1731" i="24"/>
  <c r="I1732" i="24"/>
  <c r="I1733" i="24"/>
  <c r="I1734" i="24"/>
  <c r="I1735" i="24"/>
  <c r="I1736" i="24"/>
  <c r="I1737" i="24"/>
  <c r="I1738" i="24"/>
  <c r="I1739" i="24"/>
  <c r="I1740" i="24"/>
  <c r="I1741" i="24"/>
  <c r="I1742" i="24"/>
  <c r="I1743" i="24"/>
  <c r="I1744" i="24"/>
  <c r="I1745" i="24"/>
  <c r="I1746" i="24"/>
  <c r="I1747" i="24"/>
  <c r="I1748" i="24"/>
  <c r="I1749" i="24"/>
  <c r="I1750" i="24"/>
  <c r="I1751" i="24"/>
  <c r="I1752" i="24"/>
  <c r="I1753" i="24"/>
  <c r="I1754" i="24"/>
  <c r="I1755" i="24"/>
  <c r="I1756" i="24"/>
  <c r="I1757" i="24"/>
  <c r="I1758" i="24"/>
  <c r="I1759" i="24"/>
  <c r="I1760" i="24"/>
  <c r="I1761" i="24"/>
  <c r="I1762" i="24"/>
  <c r="I1763" i="24"/>
  <c r="I1764" i="24"/>
  <c r="I1765" i="24"/>
  <c r="I1766" i="24"/>
  <c r="I1767" i="24"/>
  <c r="I1768" i="24"/>
  <c r="I1769" i="24"/>
  <c r="I1770" i="24"/>
  <c r="I1771" i="24"/>
  <c r="I1772" i="24"/>
  <c r="I1773" i="24"/>
  <c r="I1774" i="24"/>
  <c r="I1775" i="24"/>
  <c r="I1776" i="24"/>
  <c r="I1777" i="24"/>
  <c r="I1778" i="24"/>
  <c r="I1779" i="24"/>
  <c r="I1781" i="24"/>
  <c r="I1782" i="24"/>
  <c r="I1783" i="24"/>
  <c r="I1784" i="24"/>
  <c r="I1785" i="24"/>
  <c r="I1786" i="24"/>
  <c r="I1787" i="24"/>
  <c r="I1788" i="24"/>
  <c r="I1789" i="24"/>
  <c r="I1790" i="24"/>
  <c r="I1791" i="24"/>
  <c r="I1792" i="24"/>
  <c r="I1793" i="24"/>
  <c r="I1794" i="24"/>
  <c r="I1795" i="24"/>
  <c r="I1796" i="24"/>
  <c r="I1797" i="24"/>
  <c r="I1798" i="24"/>
  <c r="I1799" i="24"/>
  <c r="I1800" i="24"/>
  <c r="I1801" i="24"/>
  <c r="I1802" i="24"/>
  <c r="I1803" i="24"/>
  <c r="I1804" i="24"/>
  <c r="I1805" i="24"/>
  <c r="I1806" i="24"/>
  <c r="I1807" i="24"/>
  <c r="I1808" i="24"/>
  <c r="I1809" i="24"/>
  <c r="I1810" i="24"/>
  <c r="I1811" i="24"/>
  <c r="I1812" i="24"/>
  <c r="I1813" i="24"/>
  <c r="I1814" i="24"/>
  <c r="I1815" i="24"/>
  <c r="I1816" i="24"/>
  <c r="I1817" i="24"/>
  <c r="I1818" i="24"/>
  <c r="I1819" i="24"/>
  <c r="I1820" i="24"/>
  <c r="I1821" i="24"/>
  <c r="I1822" i="24"/>
  <c r="I1823" i="24"/>
  <c r="I1824" i="24"/>
  <c r="I1825" i="24"/>
  <c r="I1826" i="24"/>
  <c r="I1827" i="24"/>
  <c r="I1828" i="24"/>
  <c r="I1829" i="24"/>
  <c r="I1830" i="24"/>
  <c r="I1831" i="24"/>
  <c r="I1832" i="24"/>
  <c r="I1833" i="24"/>
  <c r="I1834" i="24"/>
  <c r="I1835" i="24"/>
  <c r="I1836" i="24"/>
  <c r="I1837" i="24"/>
  <c r="I1838" i="24"/>
  <c r="I1839" i="24"/>
  <c r="I1840" i="24"/>
  <c r="I1841" i="24"/>
  <c r="I1842" i="24"/>
  <c r="I1843" i="24"/>
  <c r="I1844" i="24"/>
  <c r="I1845" i="24"/>
  <c r="I1846" i="24"/>
  <c r="I1847" i="24"/>
  <c r="I1848" i="24"/>
  <c r="I1849" i="24"/>
  <c r="I1850" i="24"/>
  <c r="I1851" i="24"/>
  <c r="I1852" i="24"/>
  <c r="I1853" i="24"/>
  <c r="I1854" i="24"/>
  <c r="I1855" i="24"/>
  <c r="I1856" i="24"/>
  <c r="I1857" i="24"/>
  <c r="I1858" i="24"/>
  <c r="I1859" i="24"/>
  <c r="I1860" i="24"/>
  <c r="I1861" i="24"/>
  <c r="I1862" i="24"/>
  <c r="I1863" i="24"/>
  <c r="I1864" i="24"/>
  <c r="I1865" i="24"/>
  <c r="I1866" i="24"/>
  <c r="I1867" i="24"/>
  <c r="I1868" i="24"/>
  <c r="I1869" i="24"/>
  <c r="I1870" i="24"/>
  <c r="I1871" i="24"/>
  <c r="I1872" i="24"/>
  <c r="I1873" i="24"/>
  <c r="I1874" i="24"/>
  <c r="I1876" i="24"/>
  <c r="I1877" i="24"/>
  <c r="I1878" i="24"/>
  <c r="I1879" i="24"/>
  <c r="I1880" i="24"/>
  <c r="I1881" i="24"/>
  <c r="I1882" i="24"/>
  <c r="I1883" i="24"/>
  <c r="I1884" i="24"/>
  <c r="I1885" i="24"/>
  <c r="I1886" i="24"/>
  <c r="I1887" i="24"/>
  <c r="I1888" i="24"/>
  <c r="I1889" i="24"/>
  <c r="I1890" i="24"/>
  <c r="I1891" i="24"/>
  <c r="I1892" i="24"/>
  <c r="I1893" i="24"/>
  <c r="I1894" i="24"/>
  <c r="I1895" i="24"/>
  <c r="I1896" i="24"/>
  <c r="I1897" i="24"/>
  <c r="I1898" i="24"/>
  <c r="I1899" i="24"/>
  <c r="I1900" i="24"/>
  <c r="I1901" i="24"/>
  <c r="I1902" i="24"/>
  <c r="I1903" i="24"/>
  <c r="I1904" i="24"/>
  <c r="I1905" i="24"/>
  <c r="I1906" i="24"/>
  <c r="I1907" i="24"/>
  <c r="I1908" i="24"/>
  <c r="I1909" i="24"/>
  <c r="I1910" i="24"/>
  <c r="I1911" i="24"/>
  <c r="I1912" i="24"/>
  <c r="I1913" i="24"/>
  <c r="I1914" i="24"/>
  <c r="I1915" i="24"/>
  <c r="I1916" i="24"/>
  <c r="I1917" i="24"/>
  <c r="I1918" i="24"/>
  <c r="I1919" i="24"/>
  <c r="I1920" i="24"/>
  <c r="I1921" i="24"/>
  <c r="I1922" i="24"/>
  <c r="I1923" i="24"/>
  <c r="I1924" i="24"/>
  <c r="I1925" i="24"/>
  <c r="I1926" i="24"/>
  <c r="I1927" i="24"/>
  <c r="I1928" i="24"/>
  <c r="I1929" i="24"/>
  <c r="I1930" i="24"/>
  <c r="I1931" i="24"/>
  <c r="I1932" i="24"/>
  <c r="I1933" i="24"/>
  <c r="I1934" i="24"/>
  <c r="I1935" i="24"/>
  <c r="I1936" i="24"/>
  <c r="I1937" i="24"/>
  <c r="I1938" i="24"/>
  <c r="I1939" i="24"/>
  <c r="I1940" i="24"/>
  <c r="I1941" i="24"/>
  <c r="I1942" i="24"/>
  <c r="I1943" i="24"/>
  <c r="I1944" i="24"/>
  <c r="I1945" i="24"/>
  <c r="I1946" i="24"/>
  <c r="I1947" i="24"/>
  <c r="I1948" i="24"/>
  <c r="I1949" i="24"/>
  <c r="I1950" i="24"/>
  <c r="I1951" i="24"/>
  <c r="I1952" i="24"/>
  <c r="I1953" i="24"/>
  <c r="I1954" i="24"/>
  <c r="I1955" i="24"/>
  <c r="I1956" i="24"/>
  <c r="I1957" i="24"/>
  <c r="I1958" i="24"/>
  <c r="I1959" i="24"/>
  <c r="I1960" i="24"/>
  <c r="I1961" i="24"/>
  <c r="I1962" i="24"/>
  <c r="I1963" i="24"/>
  <c r="I1964" i="24"/>
  <c r="I1965" i="24"/>
  <c r="I1966" i="24"/>
  <c r="I1967" i="24"/>
  <c r="I1968" i="24"/>
  <c r="I1970" i="24"/>
  <c r="I1971" i="24"/>
  <c r="I1972" i="24"/>
  <c r="I1973" i="24"/>
  <c r="I1974" i="24"/>
  <c r="I1975" i="24"/>
  <c r="I1976" i="24"/>
  <c r="I1977" i="24"/>
  <c r="I1978" i="24"/>
  <c r="I1979" i="24"/>
  <c r="I1980" i="24"/>
  <c r="I1981" i="24"/>
  <c r="I1982" i="24"/>
  <c r="I1983" i="24"/>
  <c r="I1984" i="24"/>
  <c r="I1985" i="24"/>
  <c r="I1986" i="24"/>
  <c r="I1987" i="24"/>
  <c r="I1988" i="24"/>
  <c r="I1989" i="24"/>
  <c r="I1990" i="24"/>
  <c r="I1991" i="24"/>
  <c r="I1992" i="24"/>
  <c r="I1993" i="24"/>
  <c r="I1994" i="24"/>
  <c r="I1995" i="24"/>
  <c r="I1996" i="24"/>
  <c r="I1997" i="24"/>
  <c r="I1998" i="24"/>
  <c r="I1999" i="24"/>
  <c r="I2000" i="24"/>
  <c r="I2001" i="24"/>
  <c r="I2002" i="24"/>
  <c r="I2003" i="24"/>
  <c r="I2004" i="24"/>
  <c r="I2005" i="24"/>
  <c r="I2006" i="24"/>
  <c r="I2007" i="24"/>
  <c r="I2008" i="24"/>
  <c r="I2009" i="24"/>
  <c r="I2010" i="24"/>
  <c r="I2011" i="24"/>
  <c r="I2012" i="24"/>
  <c r="I2013" i="24"/>
  <c r="I2014" i="24"/>
  <c r="I2015" i="24"/>
  <c r="I2016" i="24"/>
  <c r="I2017" i="24"/>
  <c r="I2018" i="24"/>
  <c r="I2019" i="24"/>
  <c r="I2020" i="24"/>
  <c r="I2021" i="24"/>
  <c r="I2022" i="24"/>
  <c r="I2023" i="24"/>
  <c r="I2024" i="24"/>
  <c r="I2025" i="24"/>
  <c r="I2026" i="24"/>
  <c r="I2027" i="24"/>
  <c r="I2028" i="24"/>
  <c r="I2029" i="24"/>
  <c r="I2030" i="24"/>
  <c r="I2031" i="24"/>
  <c r="I2032" i="24"/>
  <c r="I2033" i="24"/>
  <c r="I2034" i="24"/>
  <c r="I2035" i="24"/>
  <c r="I2036" i="24"/>
  <c r="I2037" i="24"/>
  <c r="I2038" i="24"/>
  <c r="I2039" i="24"/>
  <c r="I2040" i="24"/>
  <c r="I2041" i="24"/>
  <c r="I2042" i="24"/>
  <c r="I2043" i="24"/>
  <c r="I2044" i="24"/>
  <c r="I2045" i="24"/>
  <c r="I2047" i="24"/>
  <c r="I2048" i="24"/>
  <c r="I2049" i="24"/>
  <c r="I2050" i="24"/>
  <c r="I2051" i="24"/>
  <c r="I2052" i="24"/>
  <c r="I2053" i="24"/>
  <c r="I2054" i="24"/>
  <c r="I2055" i="24"/>
  <c r="I2056" i="24"/>
  <c r="I2057" i="24"/>
  <c r="I2058" i="24"/>
  <c r="I2059" i="24"/>
  <c r="I2060" i="24"/>
  <c r="I2061" i="24"/>
  <c r="I2062" i="24"/>
  <c r="I2063" i="24"/>
  <c r="I2064" i="24"/>
  <c r="I2065" i="24"/>
  <c r="I2066" i="24"/>
  <c r="I2067" i="24"/>
  <c r="I2068" i="24"/>
  <c r="I2069" i="24"/>
  <c r="I2070" i="24"/>
  <c r="I2071" i="24"/>
  <c r="I2072" i="24"/>
  <c r="I2073" i="24"/>
  <c r="I2074" i="24"/>
  <c r="I2075" i="24"/>
  <c r="I2076" i="24"/>
  <c r="I2077" i="24"/>
  <c r="I2078" i="24"/>
  <c r="I2079" i="24"/>
  <c r="I2080" i="24"/>
  <c r="I2081" i="24"/>
  <c r="I2082" i="24"/>
  <c r="I2083" i="24"/>
  <c r="I2084" i="24"/>
  <c r="I2085" i="24"/>
  <c r="I2086" i="24"/>
  <c r="I2087" i="24"/>
  <c r="I2088" i="24"/>
  <c r="I2089" i="24"/>
  <c r="I2090" i="24"/>
  <c r="I2091" i="24"/>
  <c r="I2092" i="24"/>
  <c r="I2093" i="24"/>
  <c r="I2094" i="24"/>
  <c r="I2095" i="24"/>
  <c r="I2096" i="24"/>
  <c r="I2097" i="24"/>
  <c r="I2098" i="24"/>
  <c r="I2099" i="24"/>
  <c r="I2100" i="24"/>
  <c r="I2101" i="24"/>
  <c r="I2102" i="24"/>
  <c r="I2103" i="24"/>
  <c r="I2104" i="24"/>
  <c r="I2105" i="24"/>
  <c r="I2106" i="24"/>
  <c r="I2107" i="24"/>
  <c r="I2108" i="24"/>
  <c r="I2109" i="24"/>
  <c r="I2110" i="24"/>
  <c r="I2111" i="24"/>
  <c r="I2112" i="24"/>
  <c r="I2113" i="24"/>
  <c r="I2114" i="24"/>
  <c r="I2115" i="24"/>
  <c r="I2116" i="24"/>
  <c r="I2117" i="24"/>
  <c r="I2118" i="24"/>
  <c r="I2119" i="24"/>
  <c r="I2120" i="24"/>
  <c r="I2121" i="24"/>
  <c r="I2122" i="24"/>
  <c r="I2123" i="24"/>
  <c r="I2124" i="24"/>
  <c r="I2125" i="24"/>
  <c r="I2126" i="24"/>
  <c r="I2127" i="24"/>
  <c r="I2128" i="24"/>
  <c r="I2129" i="24"/>
  <c r="I2130" i="24"/>
  <c r="I2131" i="24"/>
  <c r="I2133" i="24"/>
  <c r="I2134" i="24"/>
  <c r="I2135" i="24"/>
  <c r="I2136" i="24"/>
  <c r="I2137" i="24"/>
  <c r="I2138" i="24"/>
  <c r="I2139" i="24"/>
  <c r="I2140" i="24"/>
  <c r="I2141" i="24"/>
  <c r="I2142" i="24"/>
  <c r="I2143" i="24"/>
  <c r="I2144" i="24"/>
  <c r="I2145" i="24"/>
  <c r="I2146" i="24"/>
  <c r="I2147" i="24"/>
  <c r="I2148" i="24"/>
  <c r="I2149" i="24"/>
  <c r="I2150" i="24"/>
  <c r="I2151" i="24"/>
  <c r="I2152" i="24"/>
  <c r="I2153" i="24"/>
  <c r="I2154" i="24"/>
  <c r="I2155" i="24"/>
  <c r="I2156" i="24"/>
  <c r="I2157" i="24"/>
  <c r="I2158" i="24"/>
  <c r="I2159" i="24"/>
  <c r="I2160" i="24"/>
  <c r="I2161" i="24"/>
  <c r="I2162" i="24"/>
  <c r="I2163" i="24"/>
  <c r="I2164" i="24"/>
  <c r="I2165" i="24"/>
  <c r="I2166" i="24"/>
  <c r="I2167" i="24"/>
  <c r="I2168" i="24"/>
  <c r="I2169" i="24"/>
  <c r="I2170" i="24"/>
  <c r="I2171" i="24"/>
  <c r="I2172" i="24"/>
  <c r="I2173" i="24"/>
  <c r="I2174" i="24"/>
  <c r="I2175" i="24"/>
  <c r="I2176" i="24"/>
  <c r="I2177" i="24"/>
  <c r="I2178" i="24"/>
  <c r="I2179" i="24"/>
  <c r="I2180" i="24"/>
  <c r="I2181" i="24"/>
  <c r="I2182" i="24"/>
  <c r="I2183" i="24"/>
  <c r="I2184" i="24"/>
  <c r="I2185" i="24"/>
  <c r="I2186" i="24"/>
  <c r="I2187" i="24"/>
  <c r="I2188" i="24"/>
  <c r="I2189" i="24"/>
  <c r="I2190" i="24"/>
  <c r="I2191" i="24"/>
  <c r="I2192" i="24"/>
  <c r="I2193" i="24"/>
  <c r="I2194" i="24"/>
  <c r="I2195" i="24"/>
  <c r="I2196" i="24"/>
  <c r="I2197" i="24"/>
  <c r="I2198" i="24"/>
  <c r="I2199" i="24"/>
  <c r="I2200" i="24"/>
  <c r="I2201" i="24"/>
  <c r="I2202" i="24"/>
  <c r="I2203" i="24"/>
  <c r="I2204" i="24"/>
  <c r="I2205" i="24"/>
  <c r="I2206" i="24"/>
  <c r="I2207" i="24"/>
  <c r="I2208" i="24"/>
  <c r="I2209" i="24"/>
  <c r="I2210" i="24"/>
  <c r="I2212" i="24"/>
  <c r="I2213" i="24"/>
  <c r="I2214" i="24"/>
  <c r="I2215" i="24"/>
  <c r="I2216" i="24"/>
  <c r="I2217" i="24"/>
  <c r="I2218" i="24"/>
  <c r="I2219" i="24"/>
  <c r="I2220" i="24"/>
  <c r="I2221" i="24"/>
  <c r="I2222" i="24"/>
  <c r="I2223" i="24"/>
  <c r="I2224" i="24"/>
  <c r="I2225" i="24"/>
  <c r="I2226" i="24"/>
  <c r="I2227" i="24"/>
  <c r="I2228" i="24"/>
  <c r="I2229" i="24"/>
  <c r="I2230" i="24"/>
  <c r="I2231" i="24"/>
  <c r="I2232" i="24"/>
  <c r="I2233" i="24"/>
  <c r="I2234" i="24"/>
  <c r="I2235" i="24"/>
  <c r="I2236" i="24"/>
  <c r="I2237" i="24"/>
  <c r="I2238" i="24"/>
  <c r="I2239" i="24"/>
  <c r="I2240" i="24"/>
  <c r="I2241" i="24"/>
  <c r="I2242" i="24"/>
  <c r="I2243" i="24"/>
  <c r="I2244" i="24"/>
  <c r="I2245" i="24"/>
  <c r="I2246" i="24"/>
  <c r="I2247" i="24"/>
  <c r="I2248" i="24"/>
  <c r="I2249" i="24"/>
  <c r="I2250" i="24"/>
  <c r="I2251" i="24"/>
  <c r="I2252" i="24"/>
  <c r="I2253" i="24"/>
  <c r="I2254" i="24"/>
  <c r="I2255" i="24"/>
  <c r="I2256" i="24"/>
  <c r="I2257" i="24"/>
  <c r="I2258" i="24"/>
  <c r="I2259" i="24"/>
  <c r="I2260" i="24"/>
  <c r="I2261" i="24"/>
  <c r="I2262" i="24"/>
  <c r="I2263" i="24"/>
  <c r="I2264" i="24"/>
  <c r="I2265" i="24"/>
  <c r="I2266" i="24"/>
  <c r="I2267" i="24"/>
  <c r="I2268" i="24"/>
  <c r="I2269" i="24"/>
  <c r="I2270" i="24"/>
  <c r="I2271" i="24"/>
  <c r="I2272" i="24"/>
  <c r="I2273" i="24"/>
  <c r="I2274" i="24"/>
  <c r="I2275" i="24"/>
  <c r="I2276" i="24"/>
  <c r="I2277" i="24"/>
  <c r="I2278" i="24"/>
  <c r="I2279" i="24"/>
  <c r="I2280" i="24"/>
  <c r="I2281" i="24"/>
  <c r="I2282" i="24"/>
  <c r="I2283" i="24"/>
  <c r="I2284" i="24"/>
  <c r="I2285" i="24"/>
  <c r="I2286" i="24"/>
  <c r="I2287" i="24"/>
  <c r="I2288" i="24"/>
  <c r="I2289" i="24"/>
  <c r="I2290" i="24"/>
  <c r="I2291" i="24"/>
  <c r="I2292" i="24"/>
  <c r="I2293" i="24"/>
  <c r="I2294" i="24"/>
  <c r="I2295" i="24"/>
  <c r="I2296" i="24"/>
  <c r="I2297" i="24"/>
  <c r="I2298" i="24"/>
  <c r="I2299" i="24"/>
  <c r="I2300" i="24"/>
  <c r="I2301" i="24"/>
  <c r="I2302" i="24"/>
  <c r="I2303" i="24"/>
  <c r="I2304" i="24"/>
  <c r="I2305" i="24"/>
  <c r="I2306" i="24"/>
  <c r="I2307" i="24"/>
  <c r="I2308" i="24"/>
  <c r="I2309" i="24"/>
  <c r="I2310" i="24"/>
  <c r="I2311" i="24"/>
  <c r="I2312" i="24"/>
  <c r="I2313" i="24"/>
  <c r="I2314" i="24"/>
  <c r="I2315" i="24"/>
  <c r="I2316" i="24"/>
  <c r="I2317" i="24"/>
  <c r="I2318" i="24"/>
  <c r="I2319" i="24"/>
  <c r="I2320" i="24"/>
  <c r="I2321" i="24"/>
  <c r="I2322" i="24"/>
  <c r="I2323" i="24"/>
  <c r="I2324" i="24"/>
  <c r="I2325" i="24"/>
  <c r="I2326" i="24"/>
  <c r="I2327" i="24"/>
  <c r="I2328" i="24"/>
  <c r="I2329" i="24"/>
  <c r="I2330" i="24"/>
  <c r="I2331" i="24"/>
  <c r="I2332" i="24"/>
  <c r="I2333" i="24"/>
  <c r="I2334" i="24"/>
  <c r="I2335" i="24"/>
  <c r="I2336" i="24"/>
  <c r="I2337" i="24"/>
  <c r="I2338" i="24"/>
  <c r="I2339" i="24"/>
  <c r="I2340" i="24"/>
  <c r="I2341" i="24"/>
  <c r="I2342" i="24"/>
  <c r="I2343" i="24"/>
  <c r="I2344" i="24"/>
  <c r="I2345" i="24"/>
  <c r="I2346" i="24"/>
  <c r="I2347" i="24"/>
  <c r="I2348" i="24"/>
  <c r="I2349" i="24"/>
  <c r="I2350" i="24"/>
  <c r="I2351" i="24"/>
  <c r="I2353" i="24"/>
  <c r="I2354" i="24"/>
  <c r="I2355" i="24"/>
  <c r="I2356" i="24"/>
  <c r="I2357" i="24"/>
  <c r="I2358" i="24"/>
  <c r="I2359" i="24"/>
  <c r="I2360" i="24"/>
  <c r="I2361" i="24"/>
  <c r="I2362" i="24"/>
  <c r="I2363" i="24"/>
  <c r="I2364" i="24"/>
  <c r="I2365" i="24"/>
  <c r="I2366" i="24"/>
  <c r="I2367" i="24"/>
  <c r="I2368" i="24"/>
  <c r="I2369" i="24"/>
  <c r="I2370" i="24"/>
  <c r="I2371" i="24"/>
  <c r="I2372" i="24"/>
  <c r="I2373" i="24"/>
  <c r="I2374" i="24"/>
  <c r="I2375" i="24"/>
  <c r="I2376" i="24"/>
  <c r="I2377" i="24"/>
  <c r="I2378" i="24"/>
  <c r="I2379" i="24"/>
  <c r="I2380" i="24"/>
  <c r="I2381" i="24"/>
  <c r="I2382" i="24"/>
  <c r="I2383" i="24"/>
  <c r="I2384" i="24"/>
  <c r="I2385" i="24"/>
  <c r="I2386" i="24"/>
  <c r="I2387" i="24"/>
  <c r="I2388" i="24"/>
  <c r="I2389" i="24"/>
  <c r="I2390" i="24"/>
  <c r="I2391" i="24"/>
  <c r="I2392" i="24"/>
  <c r="I2393" i="24"/>
  <c r="I2394" i="24"/>
  <c r="I2395" i="24"/>
  <c r="I2396" i="24"/>
  <c r="I2397" i="24"/>
  <c r="I2398" i="24"/>
  <c r="I2399" i="24"/>
  <c r="I2400" i="24"/>
  <c r="I2401" i="24"/>
  <c r="I2402" i="24"/>
  <c r="I2403" i="24"/>
  <c r="I2404" i="24"/>
  <c r="I2405" i="24"/>
  <c r="I2406" i="24"/>
  <c r="I2407" i="24"/>
  <c r="I2408" i="24"/>
  <c r="I2409" i="24"/>
  <c r="I2410" i="24"/>
  <c r="I2411" i="24"/>
  <c r="I2412" i="24"/>
  <c r="I2413" i="24"/>
  <c r="I2414" i="24"/>
  <c r="I2415" i="24"/>
  <c r="I2416" i="24"/>
  <c r="I2417" i="24"/>
  <c r="I2418" i="24"/>
  <c r="I2419" i="24"/>
  <c r="I2420" i="24"/>
  <c r="I2421" i="24"/>
  <c r="I2422" i="24"/>
  <c r="I2423" i="24"/>
  <c r="I2425" i="24"/>
  <c r="I2426" i="24"/>
  <c r="I2427" i="24"/>
  <c r="I2428" i="24"/>
  <c r="I2429" i="24"/>
  <c r="I2430" i="24"/>
  <c r="I2432" i="24"/>
  <c r="I2433" i="24"/>
  <c r="I2434" i="24"/>
  <c r="I2435" i="24"/>
  <c r="I2436" i="24"/>
  <c r="I2438" i="24"/>
  <c r="I2439" i="24"/>
  <c r="I2441" i="24"/>
  <c r="I2442" i="24"/>
  <c r="I2443" i="24"/>
  <c r="I2444" i="24"/>
  <c r="I2445" i="24"/>
  <c r="I2446" i="24"/>
  <c r="I2447" i="24"/>
  <c r="I2448" i="24"/>
  <c r="I2449" i="24"/>
  <c r="I2450" i="24"/>
  <c r="I2451" i="24"/>
  <c r="I2452" i="24"/>
  <c r="I2453" i="24"/>
  <c r="I2454" i="24"/>
  <c r="I2455" i="24"/>
  <c r="I2456" i="24"/>
  <c r="I2457" i="24"/>
  <c r="I2458" i="24"/>
  <c r="I2459" i="24"/>
  <c r="I2460" i="24"/>
  <c r="I2461" i="24"/>
  <c r="I2462" i="24"/>
  <c r="I2463" i="24"/>
  <c r="I2464" i="24"/>
  <c r="I2465" i="24"/>
  <c r="I2466" i="24"/>
  <c r="I2467" i="24"/>
  <c r="I2468" i="24"/>
  <c r="I2469" i="24"/>
  <c r="I2470" i="24"/>
  <c r="I2471" i="24"/>
  <c r="I2473" i="24"/>
  <c r="I2474" i="24"/>
  <c r="I2475" i="24"/>
  <c r="I2476" i="24"/>
  <c r="I2477" i="24"/>
  <c r="I2478" i="24"/>
  <c r="I2479" i="24"/>
  <c r="I2480" i="24"/>
  <c r="I2481" i="24"/>
  <c r="I2483" i="24"/>
  <c r="I2484" i="24"/>
  <c r="I2485" i="24"/>
  <c r="I2486" i="24"/>
  <c r="I2487" i="24"/>
  <c r="I2488" i="24"/>
  <c r="I2489" i="24"/>
  <c r="I2490" i="24"/>
  <c r="I2491" i="24"/>
  <c r="I2492" i="24"/>
  <c r="I2493" i="24"/>
  <c r="I2494" i="24"/>
  <c r="I2495" i="24"/>
  <c r="I2496" i="24"/>
  <c r="I2497" i="24"/>
  <c r="I2498" i="24"/>
  <c r="I2499" i="24"/>
  <c r="I2500" i="24"/>
  <c r="I2501" i="24"/>
  <c r="I2502" i="24"/>
  <c r="I2503" i="24"/>
  <c r="I2504" i="24"/>
  <c r="I2505" i="24"/>
  <c r="I2506" i="24"/>
  <c r="I2507" i="24"/>
  <c r="I2508" i="24"/>
  <c r="I2509" i="24"/>
  <c r="I2510" i="24"/>
  <c r="I2511" i="24"/>
  <c r="I2512" i="24"/>
  <c r="I2513" i="24"/>
  <c r="I2514" i="24"/>
  <c r="I2515" i="24"/>
  <c r="I2516" i="24"/>
  <c r="I2517" i="24"/>
  <c r="I2518" i="24"/>
  <c r="I2519" i="24"/>
  <c r="I2520" i="24"/>
  <c r="I2521" i="24"/>
  <c r="I2522" i="24"/>
  <c r="I2523" i="24"/>
  <c r="I2524" i="24"/>
  <c r="I2525" i="24"/>
  <c r="I2526" i="24"/>
  <c r="I2527" i="24"/>
  <c r="I2528" i="24"/>
  <c r="I2529" i="24"/>
  <c r="I2530" i="24"/>
  <c r="I2531" i="24"/>
  <c r="I2532" i="24"/>
  <c r="I2533" i="24"/>
  <c r="I2534" i="24"/>
  <c r="I2535" i="24"/>
  <c r="I2536" i="24"/>
  <c r="I2537" i="24"/>
  <c r="I2539" i="24"/>
  <c r="I2540" i="24"/>
  <c r="I2541" i="24"/>
  <c r="I2542" i="24"/>
  <c r="I2543" i="24"/>
  <c r="I2545" i="24"/>
  <c r="I2546" i="24"/>
  <c r="I2548" i="24"/>
  <c r="I2549" i="24"/>
  <c r="I2551" i="24"/>
  <c r="I2552" i="24"/>
  <c r="I2553" i="24"/>
  <c r="I2554" i="24"/>
  <c r="I2555" i="24"/>
  <c r="I2556" i="24"/>
  <c r="I2557" i="24"/>
  <c r="I2558" i="24"/>
  <c r="I2559" i="24"/>
  <c r="I2560" i="24"/>
  <c r="I2561" i="24"/>
  <c r="I2562" i="24"/>
  <c r="I2563" i="24"/>
  <c r="I2564" i="24"/>
  <c r="I2565" i="24"/>
  <c r="I2566" i="24"/>
  <c r="I2567" i="24"/>
  <c r="I2568" i="24"/>
  <c r="I2569" i="24"/>
  <c r="I2570" i="24"/>
  <c r="I2571" i="24"/>
  <c r="I2572" i="24"/>
  <c r="I2573" i="24"/>
  <c r="I2574" i="24"/>
  <c r="I2575" i="24"/>
  <c r="I2576" i="24"/>
  <c r="I2577" i="24"/>
  <c r="I2578" i="24"/>
  <c r="I2579" i="24"/>
  <c r="I2580" i="24"/>
  <c r="I2581" i="24"/>
  <c r="I2582" i="24"/>
  <c r="I2583" i="24"/>
  <c r="I2584" i="24"/>
  <c r="I2586" i="24"/>
  <c r="I2587" i="24"/>
  <c r="I2588" i="24"/>
  <c r="I2589" i="24"/>
  <c r="I2590" i="24"/>
  <c r="I2591" i="24"/>
  <c r="I2592" i="24"/>
  <c r="I2593" i="24"/>
  <c r="I2594" i="24"/>
  <c r="I2595" i="24"/>
  <c r="I2596" i="24"/>
  <c r="I2597" i="24"/>
  <c r="I2598" i="24"/>
  <c r="I2599" i="24"/>
  <c r="I2600" i="24"/>
  <c r="I2601" i="24"/>
  <c r="I2602" i="24"/>
  <c r="I2603" i="24"/>
  <c r="I2604" i="24"/>
  <c r="I2605" i="24"/>
  <c r="I2606" i="24"/>
  <c r="I2607" i="24"/>
  <c r="I2608" i="24"/>
  <c r="I2609" i="24"/>
  <c r="I2610" i="24"/>
  <c r="I2611" i="24"/>
  <c r="I2612" i="24"/>
  <c r="I2613" i="24"/>
  <c r="I2614" i="24"/>
  <c r="I2615" i="24"/>
  <c r="I2616" i="24"/>
  <c r="I2617" i="24"/>
  <c r="I2618" i="24"/>
  <c r="I2619" i="24"/>
  <c r="I2621" i="24"/>
  <c r="I2622" i="24"/>
  <c r="I2623" i="24"/>
  <c r="I2624" i="24"/>
  <c r="I2625" i="24"/>
  <c r="I2626" i="24"/>
  <c r="I2627" i="24"/>
  <c r="I2628" i="24"/>
  <c r="I2629" i="24"/>
  <c r="I2630" i="24"/>
  <c r="I2631" i="24"/>
  <c r="I2632" i="24"/>
  <c r="I2633" i="24"/>
  <c r="I2634" i="24"/>
  <c r="I2635" i="24"/>
  <c r="I2636" i="24"/>
  <c r="I2637" i="24"/>
  <c r="I2638" i="24"/>
  <c r="I2639" i="24"/>
  <c r="I2640" i="24"/>
  <c r="I2641" i="24"/>
  <c r="I2642" i="24"/>
  <c r="I2643" i="24"/>
  <c r="I2644" i="24"/>
  <c r="I2645" i="24"/>
  <c r="I2646" i="24"/>
  <c r="I2647" i="24"/>
  <c r="I2648" i="24"/>
  <c r="I2649" i="24"/>
  <c r="I2650" i="24"/>
  <c r="I2651" i="24"/>
  <c r="I2652" i="24"/>
  <c r="I2653" i="24"/>
  <c r="I2654" i="24"/>
  <c r="I2655" i="24"/>
  <c r="I2656" i="24"/>
  <c r="I2657" i="24"/>
  <c r="I2658" i="24"/>
  <c r="I2659" i="24"/>
  <c r="I2660" i="24"/>
  <c r="I2661" i="24"/>
  <c r="I2662" i="24"/>
  <c r="I2663" i="24"/>
  <c r="I2664" i="24"/>
  <c r="I2665" i="24"/>
  <c r="I2666" i="24"/>
  <c r="I2667" i="24"/>
  <c r="I2668" i="24"/>
  <c r="I2670" i="24"/>
  <c r="I2671" i="24"/>
  <c r="I2672" i="24"/>
  <c r="I2673" i="24"/>
  <c r="I2674" i="24"/>
  <c r="I2675" i="24"/>
  <c r="I2676" i="24"/>
  <c r="I2677" i="24"/>
  <c r="I2678" i="24"/>
  <c r="I2679" i="24"/>
  <c r="I2680" i="24"/>
  <c r="I2681" i="24"/>
  <c r="I2682" i="24"/>
  <c r="I2683" i="24"/>
  <c r="I2684" i="24"/>
  <c r="I2685" i="24"/>
  <c r="I2686" i="24"/>
  <c r="I2687" i="24"/>
  <c r="I2688" i="24"/>
  <c r="I2689" i="24"/>
  <c r="I2690" i="24"/>
  <c r="I2691" i="24"/>
  <c r="I2692" i="24"/>
  <c r="I2693" i="24"/>
  <c r="I2694" i="24"/>
  <c r="I2695" i="24"/>
  <c r="I2696" i="24"/>
  <c r="I2697" i="24"/>
  <c r="I2698" i="24"/>
  <c r="I2699" i="24"/>
  <c r="I2700" i="24"/>
  <c r="I2701" i="24"/>
  <c r="I2702" i="24"/>
  <c r="I2703" i="24"/>
  <c r="I2704" i="24"/>
  <c r="I2705" i="24"/>
  <c r="I2706" i="24"/>
  <c r="I2707" i="24"/>
  <c r="I2708" i="24"/>
  <c r="I2709" i="24"/>
  <c r="I2710" i="24"/>
  <c r="I2711" i="24"/>
  <c r="I2712" i="24"/>
  <c r="I2713" i="24"/>
  <c r="I2714" i="24"/>
  <c r="I2715" i="24"/>
  <c r="I2716" i="24"/>
  <c r="I2717" i="24"/>
  <c r="I2718" i="24"/>
  <c r="I2719" i="24"/>
  <c r="I2720" i="24"/>
  <c r="I2721" i="24"/>
  <c r="I2722" i="24"/>
  <c r="I2723" i="24"/>
  <c r="I2724" i="24"/>
  <c r="I2725" i="24"/>
  <c r="I2726" i="24"/>
  <c r="I2727" i="24"/>
  <c r="I2728" i="24"/>
  <c r="I2729" i="24"/>
  <c r="I2730" i="24"/>
  <c r="I2731" i="24"/>
  <c r="I2732" i="24"/>
  <c r="I2733" i="24"/>
  <c r="I2734" i="24"/>
  <c r="I2735" i="24"/>
  <c r="I2736" i="24"/>
  <c r="I2737" i="24"/>
  <c r="I2738" i="24"/>
  <c r="I2739" i="24"/>
  <c r="I2740" i="24"/>
  <c r="I2741" i="24"/>
  <c r="I2742" i="24"/>
  <c r="I2743" i="24"/>
  <c r="I2744" i="24"/>
  <c r="I2745" i="24"/>
  <c r="I2746" i="24"/>
  <c r="I2747" i="24"/>
  <c r="I2748" i="24"/>
  <c r="I2749" i="24"/>
  <c r="I2750" i="24"/>
  <c r="I2751" i="24"/>
  <c r="I2752" i="24"/>
  <c r="I2753" i="24"/>
  <c r="I2754" i="24"/>
  <c r="I2755" i="24"/>
  <c r="I2756" i="24"/>
  <c r="I2757" i="24"/>
  <c r="I2758" i="24"/>
  <c r="I2759" i="24"/>
  <c r="I2760" i="24"/>
  <c r="I2761" i="24"/>
  <c r="I2762" i="24"/>
  <c r="I2763" i="24"/>
  <c r="I2764" i="24"/>
  <c r="I2765" i="24"/>
  <c r="I2766" i="24"/>
  <c r="I2767" i="24"/>
  <c r="I2768" i="24"/>
  <c r="I2769" i="24"/>
  <c r="I2770" i="24"/>
  <c r="I2771" i="24"/>
  <c r="I2772" i="24"/>
  <c r="I2773" i="24"/>
  <c r="I2774" i="24"/>
  <c r="I2775" i="24"/>
  <c r="I2776" i="24"/>
  <c r="I2777" i="24"/>
  <c r="I2778" i="24"/>
  <c r="I2779" i="24"/>
  <c r="I2780" i="24"/>
  <c r="I2781" i="24"/>
  <c r="I2782" i="24"/>
  <c r="I2783" i="24"/>
  <c r="I2784" i="24"/>
  <c r="I2785" i="24"/>
  <c r="I2786" i="24"/>
  <c r="I2787" i="24"/>
  <c r="I2788" i="24"/>
  <c r="I2789" i="24"/>
  <c r="I2790" i="24"/>
  <c r="I2791" i="24"/>
  <c r="I2792" i="24"/>
  <c r="I2793" i="24"/>
  <c r="I2794" i="24"/>
  <c r="I2795" i="24"/>
  <c r="I2796" i="24"/>
  <c r="I2797" i="24"/>
  <c r="I2798" i="24"/>
  <c r="I2799" i="24"/>
  <c r="I2800" i="24"/>
  <c r="I2801" i="24"/>
  <c r="I2802" i="24"/>
  <c r="I2803" i="24"/>
  <c r="I2804" i="24"/>
  <c r="I2805" i="24"/>
  <c r="I2806" i="24"/>
  <c r="I2807" i="24"/>
  <c r="I2808" i="24"/>
  <c r="I2809" i="24"/>
  <c r="I2810" i="24"/>
  <c r="I2811" i="24"/>
  <c r="I2812" i="24"/>
  <c r="I2813" i="24"/>
  <c r="I2814" i="24"/>
  <c r="I2815" i="24"/>
  <c r="I2816" i="24"/>
  <c r="I2818" i="24"/>
  <c r="I2819" i="24"/>
  <c r="I2820" i="24"/>
  <c r="I2821" i="24"/>
  <c r="I2822" i="24"/>
  <c r="I2823" i="24"/>
  <c r="I2824" i="24"/>
  <c r="I2825" i="24"/>
  <c r="I2826" i="24"/>
  <c r="I2827" i="24"/>
  <c r="I2828" i="24"/>
  <c r="I2829" i="24"/>
  <c r="I2830" i="24"/>
  <c r="I2831" i="24"/>
  <c r="I2832" i="24"/>
  <c r="I2833" i="24"/>
  <c r="I2834" i="24"/>
  <c r="I2835" i="24"/>
  <c r="I2836" i="24"/>
  <c r="I2837" i="24"/>
  <c r="I2838" i="24"/>
  <c r="I2839" i="24"/>
  <c r="I2840" i="24"/>
  <c r="I2841" i="24"/>
  <c r="I2842" i="24"/>
  <c r="I2843" i="24"/>
  <c r="I2844" i="24"/>
  <c r="I2845" i="24"/>
  <c r="I2846" i="24"/>
  <c r="I2847" i="24"/>
  <c r="I2848" i="24"/>
  <c r="I2849" i="24"/>
  <c r="I2850" i="24"/>
  <c r="I2851" i="24"/>
  <c r="I2853" i="24"/>
  <c r="I2854" i="24"/>
  <c r="I2855" i="24"/>
  <c r="I2856" i="24"/>
  <c r="I2857" i="24"/>
  <c r="I2858" i="24"/>
  <c r="I2859" i="24"/>
  <c r="I2860" i="24"/>
  <c r="I2861" i="24"/>
  <c r="I2862" i="24"/>
  <c r="I2863" i="24"/>
  <c r="I2864" i="24"/>
  <c r="I2865" i="24"/>
  <c r="I2866" i="24"/>
  <c r="I2867" i="24"/>
  <c r="I2868" i="24"/>
  <c r="I2869" i="24"/>
  <c r="I2870" i="24"/>
  <c r="I2871" i="24"/>
  <c r="I2872" i="24"/>
  <c r="I2873" i="24"/>
  <c r="I2874" i="24"/>
  <c r="I2875" i="24"/>
  <c r="I2876" i="24"/>
  <c r="I2877" i="24"/>
  <c r="I2878" i="24"/>
  <c r="I2879" i="24"/>
  <c r="I2880" i="24"/>
  <c r="I2881" i="24"/>
  <c r="I2882" i="24"/>
  <c r="I2883" i="24"/>
  <c r="I2884" i="24"/>
  <c r="I2885" i="24"/>
  <c r="I2886" i="24"/>
  <c r="I2888" i="24"/>
  <c r="I2889" i="24"/>
  <c r="I2890" i="24"/>
  <c r="I2891" i="24"/>
  <c r="I2892" i="24"/>
  <c r="I2893" i="24"/>
  <c r="I2894" i="24"/>
  <c r="I2895" i="24"/>
  <c r="I2896" i="24"/>
  <c r="I2897" i="24"/>
  <c r="I2898" i="24"/>
  <c r="I2899" i="24"/>
  <c r="I2900" i="24"/>
  <c r="I2901" i="24"/>
  <c r="I2902" i="24"/>
  <c r="I2903" i="24"/>
  <c r="I2904" i="24"/>
  <c r="I2905" i="24"/>
  <c r="I2906" i="24"/>
  <c r="I2907" i="24"/>
  <c r="I2908" i="24"/>
  <c r="I2909" i="24"/>
  <c r="I2910" i="24"/>
  <c r="I2911" i="24"/>
  <c r="I2912" i="24"/>
  <c r="I2913" i="24"/>
  <c r="I2914" i="24"/>
  <c r="I2915" i="24"/>
  <c r="I2916" i="24"/>
  <c r="I2917" i="24"/>
  <c r="I2918" i="24"/>
  <c r="I2919" i="24"/>
  <c r="I2920" i="24"/>
  <c r="I2921" i="24"/>
  <c r="I2923" i="24"/>
  <c r="I2924" i="24"/>
  <c r="I2925" i="24"/>
  <c r="I2926" i="24"/>
  <c r="I2927" i="24"/>
  <c r="I2928" i="24"/>
  <c r="I2929" i="24"/>
  <c r="I2930" i="24"/>
  <c r="I2931" i="24"/>
  <c r="I2932" i="24"/>
  <c r="I2933" i="24"/>
  <c r="I2934" i="24"/>
  <c r="I2935" i="24"/>
  <c r="I2936" i="24"/>
  <c r="I2937" i="24"/>
  <c r="I2938" i="24"/>
  <c r="I2939" i="24"/>
  <c r="I2940" i="24"/>
  <c r="I2941" i="24"/>
  <c r="I2942" i="24"/>
  <c r="I2943" i="24"/>
  <c r="I2944" i="24"/>
  <c r="I2945" i="24"/>
  <c r="I2946" i="24"/>
  <c r="I2947" i="24"/>
  <c r="I2948" i="24"/>
  <c r="I2949" i="24"/>
  <c r="I2950" i="24"/>
  <c r="I2951" i="24"/>
  <c r="I2952" i="24"/>
  <c r="I2953" i="24"/>
  <c r="I2954" i="24"/>
  <c r="I2955" i="24"/>
  <c r="I2956" i="24"/>
  <c r="I2958" i="24"/>
  <c r="I2959" i="24"/>
  <c r="I2960" i="24"/>
  <c r="I2961" i="24"/>
  <c r="I2962" i="24"/>
  <c r="I2963" i="24"/>
  <c r="I2964" i="24"/>
  <c r="I2965" i="24"/>
  <c r="I2966" i="24"/>
  <c r="I2967" i="24"/>
  <c r="I2968" i="24"/>
  <c r="I2969" i="24"/>
  <c r="I2970" i="24"/>
  <c r="I2971" i="24"/>
  <c r="I2972" i="24"/>
  <c r="I2973" i="24"/>
  <c r="I2974" i="24"/>
  <c r="I2975" i="24"/>
  <c r="I2976" i="24"/>
  <c r="I2977" i="24"/>
  <c r="I2978" i="24"/>
  <c r="I2979" i="24"/>
  <c r="I2980" i="24"/>
  <c r="I2981" i="24"/>
  <c r="I2982" i="24"/>
  <c r="I2983" i="24"/>
  <c r="I2984" i="24"/>
  <c r="I2985" i="24"/>
  <c r="I2986" i="24"/>
  <c r="I2987" i="24"/>
  <c r="I2988" i="24"/>
  <c r="I2989" i="24"/>
  <c r="I2990" i="24"/>
  <c r="I2991" i="24"/>
  <c r="I2993" i="24"/>
  <c r="I2994" i="24"/>
  <c r="I2995" i="24"/>
  <c r="I2996" i="24"/>
  <c r="I2997" i="24"/>
  <c r="I2998" i="24"/>
  <c r="I2999" i="24"/>
  <c r="I3000" i="24"/>
  <c r="I3001" i="24"/>
  <c r="I3002" i="24"/>
  <c r="I3003" i="24"/>
  <c r="I3004" i="24"/>
  <c r="I3005" i="24"/>
  <c r="I3006" i="24"/>
  <c r="I3007" i="24"/>
  <c r="I3008" i="24"/>
  <c r="I3009" i="24"/>
  <c r="I3010" i="24"/>
  <c r="I3011" i="24"/>
  <c r="I3012" i="24"/>
  <c r="I3013" i="24"/>
  <c r="I3014" i="24"/>
  <c r="I3015" i="24"/>
  <c r="I3016" i="24"/>
  <c r="I3017" i="24"/>
  <c r="I3018" i="24"/>
  <c r="I3019" i="24"/>
  <c r="I3020" i="24"/>
  <c r="I3021" i="24"/>
  <c r="I3022" i="24"/>
  <c r="I3023" i="24"/>
  <c r="I3024" i="24"/>
  <c r="I3025" i="24"/>
  <c r="I3026" i="24"/>
  <c r="I3028" i="24"/>
  <c r="I3029" i="24"/>
  <c r="I3030" i="24"/>
  <c r="I3031" i="24"/>
  <c r="I3032" i="24"/>
  <c r="I3033" i="24"/>
  <c r="I3034" i="24"/>
  <c r="I3035" i="24"/>
  <c r="I3036" i="24"/>
  <c r="I3037" i="24"/>
  <c r="I3038" i="24"/>
  <c r="I3039" i="24"/>
  <c r="I3040" i="24"/>
  <c r="I3041" i="24"/>
  <c r="I3042" i="24"/>
  <c r="I3043" i="24"/>
  <c r="I3044" i="24"/>
  <c r="I3045" i="24"/>
  <c r="I3046" i="24"/>
  <c r="I3047" i="24"/>
  <c r="I3048" i="24"/>
  <c r="I3049" i="24"/>
  <c r="I3050" i="24"/>
  <c r="I3051" i="24"/>
  <c r="I3052" i="24"/>
  <c r="I3053" i="24"/>
  <c r="I3054" i="24"/>
  <c r="I3055" i="24"/>
  <c r="I3056" i="24"/>
  <c r="I3057" i="24"/>
  <c r="I3058" i="24"/>
  <c r="I3059" i="24"/>
  <c r="I3060" i="24"/>
  <c r="I3061" i="24"/>
  <c r="I3062" i="24"/>
  <c r="I3063" i="24"/>
  <c r="I3064" i="24"/>
  <c r="I3065" i="24"/>
  <c r="I3066" i="24"/>
  <c r="I3067" i="24"/>
  <c r="I3068" i="24"/>
  <c r="I3069" i="24"/>
  <c r="I3070" i="24"/>
  <c r="I3071" i="24"/>
  <c r="I3072" i="24"/>
  <c r="I3073" i="24"/>
  <c r="I3074" i="24"/>
  <c r="I3075" i="24"/>
  <c r="I3076" i="24"/>
  <c r="I3077" i="24"/>
  <c r="I3078" i="24"/>
  <c r="I3080" i="24"/>
  <c r="I3081" i="24"/>
  <c r="I3082" i="24"/>
  <c r="I3083" i="24"/>
  <c r="I3084" i="24"/>
  <c r="I3085" i="24"/>
  <c r="I3086" i="24"/>
  <c r="I3087" i="24"/>
  <c r="I3088" i="24"/>
  <c r="I3089" i="24"/>
  <c r="I3090" i="24"/>
  <c r="I3091" i="24"/>
  <c r="I3092" i="24"/>
  <c r="I3093" i="24"/>
  <c r="I3094" i="24"/>
  <c r="I3095" i="24"/>
  <c r="I3096" i="24"/>
  <c r="I3097" i="24"/>
  <c r="I3098" i="24"/>
  <c r="I3099" i="24"/>
  <c r="I3100" i="24"/>
  <c r="I3101" i="24"/>
  <c r="I3102" i="24"/>
  <c r="I3103" i="24"/>
  <c r="I3104" i="24"/>
  <c r="I3105" i="24"/>
  <c r="I3106" i="24"/>
  <c r="I3107" i="24"/>
  <c r="I3108" i="24"/>
  <c r="I3109" i="24"/>
  <c r="I3110" i="24"/>
  <c r="I3111" i="24"/>
  <c r="I3112" i="24"/>
  <c r="I3113" i="24"/>
  <c r="I3115" i="24"/>
  <c r="I3116" i="24"/>
  <c r="I3117" i="24"/>
  <c r="I3118" i="24"/>
  <c r="I3119" i="24"/>
  <c r="I3120" i="24"/>
  <c r="I3121" i="24"/>
  <c r="I3122" i="24"/>
  <c r="I3123" i="24"/>
  <c r="I3124" i="24"/>
  <c r="I3125" i="24"/>
  <c r="I3126" i="24"/>
  <c r="I3127" i="24"/>
  <c r="I3128" i="24"/>
  <c r="I3129" i="24"/>
  <c r="I3130" i="24"/>
  <c r="I3131" i="24"/>
  <c r="I3132" i="24"/>
  <c r="I3133" i="24"/>
  <c r="I3134" i="24"/>
  <c r="I3135" i="24"/>
  <c r="I3136" i="24"/>
  <c r="I3137" i="24"/>
  <c r="I3138" i="24"/>
  <c r="I3139" i="24"/>
  <c r="I3140" i="24"/>
  <c r="I3141" i="24"/>
  <c r="I3142" i="24"/>
  <c r="I3143" i="24"/>
  <c r="I3144" i="24"/>
  <c r="I3145" i="24"/>
  <c r="I3146" i="24"/>
  <c r="I3147" i="24"/>
  <c r="I3148" i="24"/>
  <c r="I3150" i="24"/>
  <c r="I3151" i="24"/>
  <c r="I3152" i="24"/>
  <c r="I3153" i="24"/>
  <c r="I3154" i="24"/>
  <c r="I3155" i="24"/>
  <c r="I3156" i="24"/>
  <c r="I3157" i="24"/>
  <c r="I3158" i="24"/>
  <c r="I3159" i="24"/>
  <c r="I3160" i="24"/>
  <c r="I3161" i="24"/>
  <c r="I3162" i="24"/>
  <c r="I3163" i="24"/>
  <c r="I3164" i="24"/>
  <c r="I3165" i="24"/>
  <c r="I3166" i="24"/>
  <c r="I3167" i="24"/>
  <c r="I3168" i="24"/>
  <c r="I3169" i="24"/>
  <c r="I3170" i="24"/>
  <c r="I3171" i="24"/>
  <c r="I3172" i="24"/>
  <c r="I3173" i="24"/>
  <c r="I3174" i="24"/>
  <c r="I3175" i="24"/>
  <c r="I3176" i="24"/>
  <c r="I3177" i="24"/>
  <c r="I3178" i="24"/>
  <c r="I3179" i="24"/>
  <c r="I3180" i="24"/>
  <c r="I3181" i="24"/>
  <c r="I3182" i="24"/>
  <c r="I3183" i="24"/>
  <c r="I3185" i="24"/>
  <c r="I3186" i="24"/>
  <c r="I3187" i="24"/>
  <c r="I3188" i="24"/>
  <c r="I3189" i="24"/>
  <c r="I3190" i="24"/>
  <c r="I3191" i="24"/>
  <c r="I3192" i="24"/>
  <c r="I3193" i="24"/>
  <c r="I3194" i="24"/>
  <c r="I3195" i="24"/>
  <c r="I3196" i="24"/>
  <c r="I3197" i="24"/>
  <c r="I3198" i="24"/>
  <c r="I3199" i="24"/>
  <c r="I3200" i="24"/>
  <c r="I3201" i="24"/>
  <c r="I3202" i="24"/>
  <c r="I3203" i="24"/>
  <c r="I3204" i="24"/>
  <c r="I3205" i="24"/>
  <c r="I3206" i="24"/>
  <c r="I3207" i="24"/>
  <c r="I3208" i="24"/>
  <c r="I3209" i="24"/>
  <c r="I3210" i="24"/>
  <c r="I3211" i="24"/>
  <c r="I3212" i="24"/>
  <c r="I3213" i="24"/>
  <c r="I3214" i="24"/>
  <c r="I3215" i="24"/>
  <c r="I3216" i="24"/>
  <c r="I3217" i="24"/>
  <c r="I3218" i="24"/>
  <c r="I3220" i="24"/>
  <c r="I3221" i="24"/>
  <c r="I3222" i="24"/>
  <c r="I3223" i="24"/>
  <c r="I3224" i="24"/>
  <c r="I3225" i="24"/>
  <c r="I3226" i="24"/>
  <c r="I3227" i="24"/>
  <c r="I3228" i="24"/>
  <c r="I3229" i="24"/>
  <c r="I3230" i="24"/>
  <c r="I3231" i="24"/>
  <c r="I3232" i="24"/>
  <c r="I3233" i="24"/>
  <c r="I3234" i="24"/>
  <c r="I3235" i="24"/>
  <c r="I3236" i="24"/>
  <c r="I3237" i="24"/>
  <c r="I3238" i="24"/>
  <c r="I3239" i="24"/>
  <c r="I3240" i="24"/>
  <c r="I3241" i="24"/>
  <c r="I3242" i="24"/>
  <c r="I3243" i="24"/>
  <c r="I3244" i="24"/>
  <c r="I3245" i="24"/>
  <c r="I3246" i="24"/>
  <c r="I3247" i="24"/>
  <c r="I3248" i="24"/>
  <c r="I3249" i="24"/>
  <c r="I3250" i="24"/>
  <c r="I3251" i="24"/>
  <c r="I3252" i="24"/>
  <c r="I3253" i="24"/>
  <c r="I3255" i="24"/>
  <c r="I3256" i="24"/>
  <c r="I3257" i="24"/>
  <c r="I3258" i="24"/>
  <c r="I3259" i="24"/>
  <c r="I3260" i="24"/>
  <c r="I3261" i="24"/>
  <c r="I3262" i="24"/>
  <c r="I3263" i="24"/>
  <c r="I3264" i="24"/>
  <c r="I3265" i="24"/>
  <c r="I3266" i="24"/>
  <c r="I3267" i="24"/>
  <c r="I3268" i="24"/>
  <c r="I3269" i="24"/>
  <c r="I3270" i="24"/>
  <c r="I3271" i="24"/>
  <c r="I3272" i="24"/>
  <c r="I3273" i="24"/>
  <c r="I3274" i="24"/>
  <c r="I3275" i="24"/>
  <c r="I3276" i="24"/>
  <c r="I3277" i="24"/>
  <c r="I3278" i="24"/>
  <c r="I3279" i="24"/>
  <c r="I3280" i="24"/>
  <c r="I3281" i="24"/>
  <c r="I3282" i="24"/>
  <c r="I3283" i="24"/>
  <c r="I3284" i="24"/>
  <c r="I3285" i="24"/>
  <c r="I3286" i="24"/>
  <c r="I3287" i="24"/>
  <c r="I3288" i="24"/>
  <c r="I3290" i="24"/>
  <c r="I3291" i="24"/>
  <c r="I3292" i="24"/>
  <c r="I3293" i="24"/>
  <c r="I3294" i="24"/>
  <c r="I3295" i="24"/>
  <c r="I3296" i="24"/>
  <c r="I3297" i="24"/>
  <c r="I3298" i="24"/>
  <c r="I3299" i="24"/>
  <c r="I3300" i="24"/>
  <c r="I3301" i="24"/>
  <c r="I3302" i="24"/>
  <c r="I3303" i="24"/>
  <c r="I3304" i="24"/>
  <c r="I3305" i="24"/>
  <c r="I3306" i="24"/>
  <c r="I3307" i="24"/>
  <c r="I3308" i="24"/>
  <c r="I3309" i="24"/>
  <c r="I3310" i="24"/>
  <c r="I3311" i="24"/>
  <c r="I3312" i="24"/>
  <c r="I3313" i="24"/>
  <c r="I3314" i="24"/>
  <c r="I3315" i="24"/>
  <c r="I3316" i="24"/>
  <c r="I3317" i="24"/>
  <c r="I3318" i="24"/>
  <c r="I3319" i="24"/>
  <c r="I3320" i="24"/>
  <c r="I3321" i="24"/>
  <c r="I3322" i="24"/>
  <c r="I3323" i="24"/>
  <c r="I3325" i="24"/>
  <c r="I3326" i="24"/>
  <c r="I3327" i="24"/>
  <c r="I3328" i="24"/>
  <c r="I3329" i="24"/>
  <c r="I3330" i="24"/>
  <c r="I3331" i="24"/>
  <c r="I3332" i="24"/>
  <c r="I3333" i="24"/>
  <c r="I3334" i="24"/>
  <c r="I3335" i="24"/>
  <c r="I3336" i="24"/>
  <c r="I3337" i="24"/>
  <c r="I3338" i="24"/>
  <c r="I3339" i="24"/>
  <c r="I3340" i="24"/>
  <c r="I3341" i="24"/>
  <c r="I3342" i="24"/>
  <c r="I3343" i="24"/>
  <c r="I3344" i="24"/>
  <c r="I3345" i="24"/>
  <c r="I3346" i="24"/>
  <c r="I3347" i="24"/>
  <c r="I3348" i="24"/>
  <c r="I3349" i="24"/>
  <c r="I3350" i="24"/>
  <c r="I3351" i="24"/>
  <c r="I3352" i="24"/>
  <c r="I3353" i="24"/>
  <c r="I3354" i="24"/>
  <c r="I3355" i="24"/>
  <c r="I3356" i="24"/>
  <c r="I3357" i="24"/>
  <c r="I3358" i="24"/>
  <c r="I3360" i="24"/>
  <c r="I3361" i="24"/>
  <c r="I3362" i="24"/>
  <c r="I3363" i="24"/>
  <c r="I3364" i="24"/>
  <c r="I3365" i="24"/>
  <c r="I3366" i="24"/>
  <c r="I3367" i="24"/>
  <c r="I3368" i="24"/>
  <c r="I3369" i="24"/>
  <c r="I3370" i="24"/>
  <c r="I3371" i="24"/>
  <c r="I3372" i="24"/>
  <c r="I3373" i="24"/>
  <c r="I3374" i="24"/>
  <c r="I3375" i="24"/>
  <c r="I3376" i="24"/>
  <c r="I3377" i="24"/>
  <c r="I3378" i="24"/>
  <c r="I3379" i="24"/>
  <c r="I3380" i="24"/>
  <c r="I3381" i="24"/>
  <c r="I3382" i="24"/>
  <c r="I3383" i="24"/>
  <c r="I3384" i="24"/>
  <c r="I3385" i="24"/>
  <c r="I3386" i="24"/>
  <c r="I3387" i="24"/>
  <c r="I3388" i="24"/>
  <c r="I3389" i="24"/>
  <c r="I3390" i="24"/>
  <c r="I3391" i="24"/>
  <c r="I3392" i="24"/>
  <c r="I3393" i="24"/>
  <c r="I3395" i="24"/>
  <c r="I3396" i="24"/>
  <c r="I3397" i="24"/>
  <c r="I3398" i="24"/>
  <c r="I3399" i="24"/>
  <c r="I3400" i="24"/>
  <c r="I3401" i="24"/>
  <c r="I3402" i="24"/>
  <c r="I3403" i="24"/>
  <c r="I3404" i="24"/>
  <c r="I3405" i="24"/>
  <c r="I3406" i="24"/>
  <c r="I3407" i="24"/>
  <c r="I3408" i="24"/>
  <c r="I3409" i="24"/>
  <c r="I3410" i="24"/>
  <c r="I3411" i="24"/>
  <c r="I3412" i="24"/>
  <c r="I3413" i="24"/>
  <c r="I3414" i="24"/>
  <c r="I3415" i="24"/>
  <c r="I3416" i="24"/>
  <c r="I3417" i="24"/>
  <c r="I3418" i="24"/>
  <c r="I3419" i="24"/>
  <c r="I3420" i="24"/>
  <c r="I3421" i="24"/>
  <c r="I3422" i="24"/>
  <c r="I3423" i="24"/>
  <c r="I3424" i="24"/>
  <c r="I3425" i="24"/>
  <c r="I3426" i="24"/>
  <c r="I3427" i="24"/>
  <c r="I3428" i="24"/>
  <c r="I3430" i="24"/>
  <c r="I3431" i="24"/>
  <c r="I3432" i="24"/>
  <c r="I3433" i="24"/>
  <c r="I3434" i="24"/>
  <c r="I3435" i="24"/>
  <c r="I3436" i="24"/>
  <c r="I3437" i="24"/>
  <c r="I3438" i="24"/>
  <c r="I3439" i="24"/>
  <c r="I3440" i="24"/>
  <c r="I3441" i="24"/>
  <c r="I3442" i="24"/>
  <c r="I3443" i="24"/>
  <c r="I3444" i="24"/>
  <c r="I3445" i="24"/>
  <c r="I3446" i="24"/>
  <c r="I3447" i="24"/>
  <c r="I3448" i="24"/>
  <c r="I3449" i="24"/>
  <c r="I3450" i="24"/>
  <c r="I3451" i="24"/>
  <c r="I3452" i="24"/>
  <c r="I3453" i="24"/>
  <c r="I3454" i="24"/>
  <c r="I3455" i="24"/>
  <c r="I3456" i="24"/>
  <c r="I3457" i="24"/>
  <c r="I3458" i="24"/>
  <c r="I3459" i="24"/>
  <c r="I3460" i="24"/>
  <c r="I3461" i="24"/>
  <c r="I3462" i="24"/>
  <c r="I3463" i="24"/>
  <c r="I3465" i="24"/>
  <c r="I3466" i="24"/>
  <c r="I3467" i="24"/>
  <c r="I3468" i="24"/>
  <c r="I3469" i="24"/>
  <c r="I3470" i="24"/>
  <c r="I3471" i="24"/>
  <c r="I3472" i="24"/>
  <c r="I3473" i="24"/>
  <c r="I3474" i="24"/>
  <c r="I3475" i="24"/>
  <c r="I3476" i="24"/>
  <c r="I3477" i="24"/>
  <c r="I3478" i="24"/>
  <c r="I3479" i="24"/>
  <c r="I3480" i="24"/>
  <c r="I3481" i="24"/>
  <c r="I3482" i="24"/>
  <c r="I3483" i="24"/>
  <c r="I3484" i="24"/>
  <c r="I3485" i="24"/>
  <c r="I3486" i="24"/>
  <c r="I3487" i="24"/>
  <c r="I3488" i="24"/>
  <c r="I3489" i="24"/>
  <c r="I3490" i="24"/>
  <c r="I3491" i="24"/>
  <c r="I3492" i="24"/>
  <c r="I3493" i="24"/>
  <c r="I3494" i="24"/>
  <c r="I3495" i="24"/>
  <c r="I3496" i="24"/>
  <c r="I3497" i="24"/>
  <c r="I3498" i="24"/>
  <c r="I3500" i="24"/>
  <c r="I3501" i="24"/>
  <c r="I3502" i="24"/>
  <c r="I3503" i="24"/>
  <c r="I3504" i="24"/>
  <c r="I3505" i="24"/>
  <c r="I3506" i="24"/>
  <c r="I3507" i="24"/>
  <c r="I3508" i="24"/>
  <c r="I3509" i="24"/>
  <c r="I3510" i="24"/>
  <c r="I3511" i="24"/>
  <c r="I3512" i="24"/>
  <c r="I3513" i="24"/>
  <c r="I3514" i="24"/>
  <c r="I3515" i="24"/>
  <c r="I3516" i="24"/>
  <c r="I3517" i="24"/>
  <c r="I3518" i="24"/>
  <c r="I3519" i="24"/>
  <c r="I3520" i="24"/>
  <c r="I3521" i="24"/>
  <c r="I3522" i="24"/>
  <c r="I3523" i="24"/>
  <c r="I3524" i="24"/>
  <c r="I3525" i="24"/>
  <c r="I3526" i="24"/>
  <c r="I3527" i="24"/>
  <c r="I3528" i="24"/>
  <c r="I3529" i="24"/>
  <c r="I3530" i="24"/>
  <c r="I3531" i="24"/>
  <c r="I3532" i="24"/>
  <c r="I3533" i="24"/>
  <c r="I3535" i="24"/>
  <c r="I3536" i="24"/>
  <c r="I3537" i="24"/>
  <c r="I3538" i="24"/>
  <c r="I3539" i="24"/>
  <c r="I3540" i="24"/>
  <c r="I3541" i="24"/>
  <c r="I3542" i="24"/>
  <c r="I3543" i="24"/>
  <c r="I3544" i="24"/>
  <c r="I3545" i="24"/>
  <c r="I3546" i="24"/>
  <c r="I3547" i="24"/>
  <c r="I3548" i="24"/>
  <c r="I3549" i="24"/>
  <c r="I3550" i="24"/>
  <c r="I3551" i="24"/>
  <c r="I3552" i="24"/>
  <c r="I3553" i="24"/>
  <c r="I3554" i="24"/>
  <c r="I3555" i="24"/>
  <c r="I3556" i="24"/>
  <c r="I3557" i="24"/>
  <c r="I3558" i="24"/>
  <c r="I3559" i="24"/>
  <c r="I3560" i="24"/>
  <c r="I3561" i="24"/>
  <c r="I3562" i="24"/>
  <c r="I3563" i="24"/>
  <c r="I3564" i="24"/>
  <c r="I3565" i="24"/>
  <c r="I3566" i="24"/>
  <c r="I3567" i="24"/>
  <c r="I3568" i="24"/>
  <c r="I3570" i="24"/>
  <c r="I3571" i="24"/>
  <c r="I3572" i="24"/>
  <c r="I3573" i="24"/>
  <c r="I3574" i="24"/>
  <c r="I3575" i="24"/>
  <c r="I3576" i="24"/>
  <c r="I3577" i="24"/>
  <c r="I3578" i="24"/>
  <c r="I3579" i="24"/>
  <c r="I3580" i="24"/>
  <c r="I3581" i="24"/>
  <c r="I3582" i="24"/>
  <c r="I3583" i="24"/>
  <c r="I3584" i="24"/>
  <c r="I3585" i="24"/>
  <c r="I3586" i="24"/>
  <c r="I3587" i="24"/>
  <c r="I3588" i="24"/>
  <c r="I3589" i="24"/>
  <c r="I3590" i="24"/>
  <c r="I3591" i="24"/>
  <c r="I3592" i="24"/>
  <c r="I3593" i="24"/>
  <c r="I3594" i="24"/>
  <c r="I3595" i="24"/>
  <c r="I3596" i="24"/>
  <c r="I3597" i="24"/>
  <c r="I3598" i="24"/>
  <c r="I3599" i="24"/>
  <c r="I3600" i="24"/>
  <c r="I3601" i="24"/>
  <c r="I3602" i="24"/>
  <c r="I3603" i="24"/>
  <c r="I3605" i="24"/>
  <c r="I3606" i="24"/>
  <c r="I3607" i="24"/>
  <c r="I3608" i="24"/>
  <c r="I3609" i="24"/>
  <c r="I3610" i="24"/>
  <c r="I3611" i="24"/>
  <c r="I3612" i="24"/>
  <c r="I3613" i="24"/>
  <c r="I3614" i="24"/>
  <c r="I3615" i="24"/>
  <c r="I3616" i="24"/>
  <c r="I3617" i="24"/>
  <c r="I3618" i="24"/>
  <c r="I3619" i="24"/>
  <c r="I3620" i="24"/>
  <c r="I3621" i="24"/>
  <c r="I3622" i="24"/>
  <c r="I3623" i="24"/>
  <c r="I3624" i="24"/>
  <c r="I3625" i="24"/>
  <c r="I3626" i="24"/>
  <c r="I3627" i="24"/>
  <c r="I3628" i="24"/>
  <c r="I3629" i="24"/>
  <c r="I3630" i="24"/>
  <c r="I3631" i="24"/>
  <c r="I3632" i="24"/>
  <c r="I3633" i="24"/>
  <c r="I3634" i="24"/>
  <c r="I3635" i="24"/>
  <c r="I3636" i="24"/>
  <c r="I3637" i="24"/>
  <c r="I3638" i="24"/>
  <c r="I3640" i="24"/>
  <c r="I3641" i="24"/>
  <c r="I3642" i="24"/>
  <c r="I3643" i="24"/>
  <c r="I3644" i="24"/>
  <c r="I3645" i="24"/>
  <c r="I3646" i="24"/>
  <c r="I3647" i="24"/>
  <c r="I3648" i="24"/>
  <c r="I3649" i="24"/>
  <c r="I3650" i="24"/>
  <c r="I3651" i="24"/>
  <c r="I3652" i="24"/>
  <c r="I3653" i="24"/>
  <c r="I3654" i="24"/>
  <c r="I3655" i="24"/>
  <c r="I3656" i="24"/>
  <c r="I3657" i="24"/>
  <c r="I3658" i="24"/>
  <c r="I3659" i="24"/>
  <c r="I3660" i="24"/>
  <c r="I3661" i="24"/>
  <c r="I3662" i="24"/>
  <c r="I3663" i="24"/>
  <c r="I3664" i="24"/>
  <c r="I3665" i="24"/>
  <c r="I3666" i="24"/>
  <c r="I3667" i="24"/>
  <c r="I3668" i="24"/>
  <c r="I3669" i="24"/>
  <c r="I3670" i="24"/>
  <c r="I3671" i="24"/>
  <c r="I3672" i="24"/>
  <c r="I3673" i="24"/>
  <c r="I3674" i="24"/>
  <c r="I3675" i="24"/>
  <c r="I3676" i="24"/>
  <c r="I3677" i="24"/>
  <c r="I3678" i="24"/>
  <c r="I3679" i="24"/>
  <c r="I3680" i="24"/>
  <c r="I3681" i="24"/>
  <c r="I3682" i="24"/>
  <c r="I3683" i="24"/>
  <c r="I3684" i="24"/>
  <c r="I3685" i="24"/>
  <c r="I3686" i="24"/>
  <c r="I3687" i="24"/>
  <c r="I3688" i="24"/>
  <c r="I3689" i="24"/>
  <c r="I3690" i="24"/>
  <c r="I3691" i="24"/>
  <c r="I3692" i="24"/>
  <c r="I3693" i="24"/>
  <c r="I3694" i="24"/>
  <c r="I3695" i="24"/>
  <c r="I3696" i="24"/>
  <c r="I3697" i="24"/>
  <c r="I3698" i="24"/>
  <c r="I3699" i="24"/>
  <c r="I3700" i="24"/>
  <c r="I3701" i="24"/>
  <c r="I3702" i="24"/>
  <c r="I3703" i="24"/>
  <c r="I3704" i="24"/>
  <c r="I3705" i="24"/>
  <c r="I3706" i="24"/>
  <c r="I3708" i="24"/>
  <c r="I3709" i="24"/>
  <c r="I3710" i="24"/>
  <c r="I3711" i="24"/>
  <c r="I3712" i="24"/>
  <c r="I3713" i="24"/>
  <c r="I3714" i="24"/>
  <c r="I3715" i="24"/>
  <c r="I3716" i="24"/>
  <c r="I3717" i="24"/>
  <c r="I3718" i="24"/>
  <c r="I3719" i="24"/>
  <c r="I3720" i="24"/>
  <c r="I3721" i="24"/>
  <c r="I3722" i="24"/>
  <c r="I3723" i="24"/>
  <c r="I3724" i="24"/>
  <c r="I3725" i="24"/>
  <c r="I3726" i="24"/>
  <c r="I3727" i="24"/>
  <c r="I3728" i="24"/>
  <c r="I3729" i="24"/>
  <c r="I3730" i="24"/>
  <c r="I3731" i="24"/>
  <c r="I3732" i="24"/>
  <c r="I3733" i="24"/>
  <c r="I3734" i="24"/>
  <c r="I3735" i="24"/>
  <c r="I3736" i="24"/>
  <c r="I3737" i="24"/>
  <c r="I3738" i="24"/>
  <c r="I3739" i="24"/>
  <c r="I3740" i="24"/>
  <c r="I3741" i="24"/>
  <c r="I3742" i="24"/>
  <c r="I3743" i="24"/>
  <c r="I3744" i="24"/>
  <c r="I3745" i="24"/>
  <c r="I3746" i="24"/>
  <c r="I3747" i="24"/>
  <c r="I3748" i="24"/>
  <c r="I3749" i="24"/>
  <c r="I3750" i="24"/>
  <c r="I3751" i="24"/>
  <c r="I3752" i="24"/>
  <c r="I3753" i="24"/>
  <c r="I3754" i="24"/>
  <c r="I3755" i="24"/>
  <c r="I3756" i="24"/>
  <c r="I3757" i="24"/>
  <c r="I3758" i="24"/>
  <c r="I3759" i="24"/>
  <c r="I3760" i="24"/>
  <c r="I3761" i="24"/>
  <c r="I3762" i="24"/>
  <c r="I3763" i="24"/>
  <c r="I3764" i="24"/>
  <c r="I3765" i="24"/>
  <c r="I3766" i="24"/>
  <c r="I3767" i="24"/>
  <c r="I3768" i="24"/>
  <c r="I3769" i="24"/>
  <c r="I3770" i="24"/>
  <c r="I3771" i="24"/>
  <c r="I3772" i="24"/>
  <c r="I3773" i="24"/>
  <c r="I3774" i="24"/>
  <c r="I3775" i="24"/>
  <c r="I3776" i="24"/>
  <c r="I3777" i="24"/>
  <c r="I3778" i="24"/>
  <c r="I3779" i="24"/>
  <c r="I3780" i="24"/>
  <c r="I3781" i="24"/>
  <c r="I3782" i="24"/>
  <c r="I3783" i="24"/>
  <c r="I3784" i="24"/>
  <c r="I3785" i="24"/>
  <c r="I3786" i="24"/>
  <c r="I3787" i="24"/>
  <c r="I3788" i="24"/>
  <c r="I3789" i="24"/>
  <c r="I3790" i="24"/>
  <c r="I3791" i="24"/>
  <c r="I3792" i="24"/>
  <c r="I3793" i="24"/>
  <c r="I3794" i="24"/>
  <c r="I3795" i="24"/>
  <c r="I3796" i="24"/>
  <c r="I3797" i="24"/>
  <c r="I3798" i="24"/>
  <c r="I3799" i="24"/>
  <c r="I3800" i="24"/>
  <c r="I3801" i="24"/>
  <c r="I3802" i="24"/>
  <c r="I3803" i="24"/>
  <c r="I3804" i="24"/>
  <c r="I3805" i="24"/>
  <c r="I3806" i="24"/>
  <c r="I3807" i="24"/>
  <c r="I3808" i="24"/>
  <c r="I3809" i="24"/>
  <c r="I3810" i="24"/>
  <c r="I3811" i="24"/>
  <c r="I3812" i="24"/>
  <c r="I3813" i="24"/>
  <c r="I3814" i="24"/>
  <c r="I3815" i="24"/>
  <c r="I3816" i="24"/>
  <c r="I3817" i="24"/>
  <c r="I3818" i="24"/>
  <c r="I3819" i="24"/>
  <c r="I3820" i="24"/>
  <c r="I3821" i="24"/>
  <c r="I3822" i="24"/>
  <c r="I3823" i="24"/>
  <c r="I3824" i="24"/>
  <c r="I3826" i="24"/>
  <c r="I3827" i="24"/>
  <c r="I3828" i="24"/>
  <c r="I3829" i="24"/>
  <c r="I3830" i="24"/>
  <c r="I3831" i="24"/>
  <c r="I3832" i="24"/>
  <c r="I3833" i="24"/>
  <c r="I3834" i="24"/>
  <c r="I3835" i="24"/>
  <c r="I3836" i="24"/>
  <c r="I3837" i="24"/>
  <c r="I3838" i="24"/>
  <c r="I3839" i="24"/>
  <c r="I3840" i="24"/>
  <c r="I3841" i="24"/>
  <c r="I3842" i="24"/>
  <c r="I3843" i="24"/>
  <c r="I3844" i="24"/>
  <c r="I3845" i="24"/>
  <c r="I3846" i="24"/>
  <c r="I3847" i="24"/>
  <c r="I3848" i="24"/>
  <c r="I3849" i="24"/>
  <c r="I3850" i="24"/>
  <c r="I3851" i="24"/>
  <c r="I3852" i="24"/>
  <c r="I3853" i="24"/>
  <c r="I3854" i="24"/>
  <c r="I3855" i="24"/>
  <c r="I3856" i="24"/>
  <c r="I3857" i="24"/>
  <c r="I3858" i="24"/>
  <c r="I3859" i="24"/>
  <c r="I3861" i="24"/>
  <c r="I3862" i="24"/>
  <c r="I3863" i="24"/>
  <c r="I3864" i="24"/>
  <c r="I3865" i="24"/>
  <c r="I3866" i="24"/>
  <c r="I3867" i="24"/>
  <c r="I3868" i="24"/>
  <c r="I3869" i="24"/>
  <c r="I3870" i="24"/>
  <c r="I3871" i="24"/>
  <c r="I3872" i="24"/>
  <c r="I3873" i="24"/>
  <c r="I3874" i="24"/>
  <c r="I3875" i="24"/>
  <c r="I3876" i="24"/>
  <c r="I3877" i="24"/>
  <c r="I3878" i="24"/>
  <c r="I3879" i="24"/>
  <c r="I3880" i="24"/>
  <c r="I3881" i="24"/>
  <c r="I3882" i="24"/>
  <c r="I3883" i="24"/>
  <c r="I3884" i="24"/>
  <c r="I3885" i="24"/>
  <c r="I3886" i="24"/>
  <c r="I3887" i="24"/>
  <c r="I3888" i="24"/>
  <c r="I3889" i="24"/>
  <c r="I3890" i="24"/>
  <c r="I3891" i="24"/>
  <c r="I3892" i="24"/>
  <c r="I3893" i="24"/>
  <c r="I3894" i="24"/>
  <c r="I3896" i="24"/>
  <c r="I3897" i="24"/>
  <c r="I3898" i="24"/>
  <c r="I3899" i="24"/>
  <c r="I3900" i="24"/>
  <c r="I3901" i="24"/>
  <c r="I3902" i="24"/>
  <c r="I3903" i="24"/>
  <c r="I3904" i="24"/>
  <c r="I3905" i="24"/>
  <c r="I3906" i="24"/>
  <c r="I3907" i="24"/>
  <c r="I3908" i="24"/>
  <c r="I3909" i="24"/>
  <c r="I3910" i="24"/>
  <c r="I3911" i="24"/>
  <c r="I3912" i="24"/>
  <c r="I3913" i="24"/>
  <c r="I3914" i="24"/>
  <c r="I3915" i="24"/>
  <c r="I3916" i="24"/>
  <c r="I3917" i="24"/>
  <c r="I3918" i="24"/>
  <c r="I3919" i="24"/>
  <c r="I3920" i="24"/>
  <c r="I3921" i="24"/>
  <c r="I3922" i="24"/>
  <c r="I3923" i="24"/>
  <c r="I3924" i="24"/>
  <c r="I3925" i="24"/>
  <c r="I3926" i="24"/>
  <c r="I3927" i="24"/>
  <c r="I3928" i="24"/>
  <c r="I3929" i="24"/>
  <c r="I3931" i="24"/>
  <c r="I3932" i="24"/>
  <c r="I3933" i="24"/>
  <c r="I3934" i="24"/>
  <c r="I3935" i="24"/>
  <c r="I3936" i="24"/>
  <c r="I3937" i="24"/>
  <c r="I3938" i="24"/>
  <c r="I3939" i="24"/>
  <c r="I3940" i="24"/>
  <c r="I3941" i="24"/>
  <c r="I3942" i="24"/>
  <c r="I3943" i="24"/>
  <c r="I3944" i="24"/>
  <c r="I3945" i="24"/>
  <c r="I3946" i="24"/>
  <c r="I3947" i="24"/>
  <c r="I3948" i="24"/>
  <c r="I3949" i="24"/>
  <c r="I3950" i="24"/>
  <c r="I3951" i="24"/>
  <c r="I3952" i="24"/>
  <c r="I3953" i="24"/>
  <c r="I3954" i="24"/>
  <c r="I3955" i="24"/>
  <c r="I3956" i="24"/>
  <c r="I3957" i="24"/>
  <c r="I3958" i="24"/>
  <c r="I3959" i="24"/>
  <c r="I3960" i="24"/>
  <c r="I3961" i="24"/>
  <c r="I3962" i="24"/>
  <c r="I3963" i="24"/>
  <c r="I3964" i="24"/>
  <c r="I3966" i="24"/>
  <c r="I3967" i="24"/>
  <c r="I3968" i="24"/>
  <c r="I3969" i="24"/>
  <c r="I3970" i="24"/>
  <c r="I3971" i="24"/>
  <c r="I3972" i="24"/>
  <c r="I3973" i="24"/>
  <c r="I3974" i="24"/>
  <c r="I3975" i="24"/>
  <c r="I3976" i="24"/>
  <c r="I3977" i="24"/>
  <c r="I3978" i="24"/>
  <c r="I3979" i="24"/>
  <c r="I3980" i="24"/>
  <c r="I3981" i="24"/>
  <c r="I3982" i="24"/>
  <c r="I3983" i="24"/>
  <c r="I3984" i="24"/>
  <c r="I3985" i="24"/>
  <c r="I3986" i="24"/>
  <c r="I3987" i="24"/>
  <c r="I3988" i="24"/>
  <c r="I3989" i="24"/>
  <c r="I3990" i="24"/>
  <c r="I3991" i="24"/>
  <c r="I3992" i="24"/>
  <c r="I3993" i="24"/>
  <c r="I3994" i="24"/>
  <c r="I3995" i="24"/>
  <c r="I3996" i="24"/>
  <c r="I3997" i="24"/>
  <c r="I3998" i="24"/>
  <c r="I3999" i="24"/>
  <c r="I4001" i="24"/>
  <c r="I4002" i="24"/>
  <c r="I4003" i="24"/>
  <c r="I4004" i="24"/>
  <c r="I4005" i="24"/>
  <c r="I4006" i="24"/>
  <c r="I4007" i="24"/>
  <c r="I4008" i="24"/>
  <c r="I4009" i="24"/>
  <c r="I4010" i="24"/>
  <c r="I4011" i="24"/>
  <c r="I4012" i="24"/>
  <c r="I4013" i="24"/>
  <c r="I4014" i="24"/>
  <c r="I4015" i="24"/>
  <c r="I4016" i="24"/>
  <c r="I4017" i="24"/>
  <c r="I4018" i="24"/>
  <c r="I4019" i="24"/>
  <c r="I4020" i="24"/>
  <c r="I4021" i="24"/>
  <c r="I4022" i="24"/>
  <c r="I4023" i="24"/>
  <c r="I4024" i="24"/>
  <c r="I4025" i="24"/>
  <c r="I4026" i="24"/>
  <c r="I4027" i="24"/>
  <c r="I4028" i="24"/>
  <c r="I4029" i="24"/>
  <c r="I4030" i="24"/>
  <c r="I4031" i="24"/>
  <c r="I4032" i="24"/>
  <c r="I4034" i="24"/>
  <c r="I4035" i="24"/>
  <c r="I4036" i="24"/>
  <c r="I4037" i="24"/>
  <c r="I4038" i="24"/>
  <c r="I4039" i="24"/>
  <c r="I4040" i="24"/>
  <c r="I4041" i="24"/>
  <c r="I4042" i="24"/>
  <c r="I4043" i="24"/>
  <c r="I4044" i="24"/>
  <c r="I4045" i="24"/>
  <c r="I4046" i="24"/>
  <c r="I4047" i="24"/>
  <c r="I4048" i="24"/>
  <c r="I4049" i="24"/>
  <c r="I4050" i="24"/>
  <c r="I4051" i="24"/>
  <c r="I4052" i="24"/>
  <c r="I4053" i="24"/>
  <c r="I4054" i="24"/>
  <c r="I4055" i="24"/>
  <c r="I4056" i="24"/>
  <c r="I4057" i="24"/>
  <c r="I4058" i="24"/>
  <c r="I4059" i="24"/>
  <c r="I4060" i="24"/>
  <c r="I4061" i="24"/>
  <c r="I4062" i="24"/>
  <c r="I4063" i="24"/>
  <c r="I4064" i="24"/>
  <c r="I4065" i="24"/>
  <c r="I4066" i="24"/>
  <c r="I4067" i="24"/>
  <c r="I4069" i="24"/>
  <c r="I4070" i="24"/>
  <c r="I4071" i="24"/>
  <c r="I4072" i="24"/>
  <c r="I4073" i="24"/>
  <c r="I4074" i="24"/>
  <c r="I4075" i="24"/>
  <c r="I4076" i="24"/>
  <c r="I4077" i="24"/>
  <c r="I4078" i="24"/>
  <c r="I4079" i="24"/>
  <c r="I4080" i="24"/>
  <c r="I4081" i="24"/>
  <c r="I4082" i="24"/>
  <c r="I4083" i="24"/>
  <c r="I4084" i="24"/>
  <c r="I4085" i="24"/>
  <c r="I4086" i="24"/>
  <c r="I4087" i="24"/>
  <c r="I4088" i="24"/>
  <c r="I4089" i="24"/>
  <c r="I4090" i="24"/>
  <c r="I4091" i="24"/>
  <c r="I4092" i="24"/>
  <c r="I4093" i="24"/>
  <c r="I4094" i="24"/>
  <c r="I4095" i="24"/>
  <c r="I4096" i="24"/>
  <c r="I4097" i="24"/>
  <c r="I4098" i="24"/>
  <c r="I4099" i="24"/>
  <c r="I4100" i="24"/>
  <c r="I4101" i="24"/>
  <c r="I4102" i="24"/>
  <c r="I4103" i="24"/>
  <c r="I4104" i="24"/>
  <c r="I4105" i="24"/>
  <c r="I4106" i="24"/>
  <c r="I4107" i="24"/>
  <c r="I4108" i="24"/>
  <c r="I4109" i="24"/>
  <c r="I4110" i="24"/>
  <c r="I4111" i="24"/>
  <c r="I4112" i="24"/>
  <c r="I4113" i="24"/>
  <c r="I4114" i="24"/>
  <c r="I4115" i="24"/>
  <c r="I4116" i="24"/>
  <c r="I4117" i="24"/>
  <c r="I4118" i="24"/>
  <c r="I4119" i="24"/>
  <c r="I4120" i="24"/>
  <c r="I4121" i="24"/>
  <c r="I4122" i="24"/>
  <c r="I4123" i="24"/>
  <c r="I4124" i="24"/>
  <c r="I4125" i="24"/>
  <c r="I4126" i="24"/>
  <c r="I4127" i="24"/>
  <c r="I4128" i="24"/>
  <c r="I4129" i="24"/>
  <c r="I4130" i="24"/>
  <c r="I4131" i="24"/>
  <c r="I4132" i="24"/>
  <c r="I4133" i="24"/>
  <c r="I4134" i="24"/>
  <c r="I4135" i="24"/>
  <c r="I4136" i="24"/>
  <c r="I4137" i="24"/>
  <c r="I4138" i="24"/>
  <c r="I4139" i="24"/>
  <c r="I4140" i="24"/>
  <c r="I4141" i="24"/>
  <c r="I4142" i="24"/>
  <c r="I4143" i="24"/>
  <c r="I4144" i="24"/>
  <c r="I4145" i="24"/>
  <c r="I4146" i="24"/>
  <c r="I4147" i="24"/>
  <c r="I4148" i="24"/>
  <c r="I4149" i="24"/>
  <c r="I4150" i="24"/>
  <c r="I4151" i="24"/>
  <c r="I4152" i="24"/>
  <c r="I4153" i="24"/>
  <c r="I4154" i="24"/>
  <c r="I4155" i="24"/>
  <c r="I4156" i="24"/>
  <c r="I4157" i="24"/>
  <c r="I4158" i="24"/>
  <c r="I4159" i="24"/>
  <c r="I4160" i="24"/>
  <c r="I4162" i="24"/>
  <c r="I4163" i="24"/>
  <c r="I4164" i="24"/>
  <c r="I4165" i="24"/>
  <c r="I9" i="32"/>
  <c r="I10" i="32"/>
  <c r="I12" i="32"/>
  <c r="I13" i="32"/>
  <c r="I15" i="32"/>
  <c r="I16" i="32"/>
  <c r="I17" i="32"/>
  <c r="I19" i="32"/>
  <c r="I20" i="32"/>
  <c r="I21" i="32"/>
  <c r="I22" i="32"/>
  <c r="I24" i="32"/>
  <c r="I25" i="32"/>
  <c r="I26" i="32"/>
  <c r="I28" i="32"/>
  <c r="I30" i="32"/>
  <c r="I32" i="32"/>
  <c r="I33" i="32"/>
  <c r="I34" i="32"/>
  <c r="I36" i="32"/>
  <c r="I38" i="32"/>
  <c r="I40" i="32"/>
  <c r="I42" i="32"/>
  <c r="I44" i="32"/>
  <c r="I45" i="32"/>
  <c r="I46" i="32"/>
  <c r="I47" i="32"/>
  <c r="I48" i="32"/>
  <c r="I49" i="32"/>
  <c r="I50" i="32"/>
  <c r="I51" i="32"/>
  <c r="I52" i="32"/>
  <c r="I53" i="32"/>
  <c r="I54" i="32"/>
  <c r="I55" i="32"/>
  <c r="I56" i="32"/>
  <c r="I57" i="32"/>
  <c r="I58" i="32"/>
  <c r="I59" i="32"/>
  <c r="I60" i="32"/>
  <c r="I61" i="32"/>
  <c r="I62" i="32"/>
  <c r="I63" i="32"/>
  <c r="I64" i="32"/>
  <c r="I65" i="32"/>
  <c r="I67" i="32"/>
  <c r="I69" i="32"/>
  <c r="I70" i="32"/>
  <c r="I72" i="32"/>
  <c r="I73" i="32"/>
  <c r="I74" i="32"/>
  <c r="I75" i="32"/>
  <c r="I76" i="32"/>
  <c r="I78" i="32"/>
  <c r="I80" i="32"/>
  <c r="I82" i="32"/>
  <c r="I84" i="32"/>
  <c r="I86" i="32"/>
  <c r="I87" i="32"/>
  <c r="I89" i="32"/>
  <c r="I91" i="32"/>
  <c r="I93" i="32"/>
  <c r="I95" i="32"/>
  <c r="I97" i="32"/>
  <c r="I98" i="32"/>
  <c r="I99" i="32"/>
  <c r="I100" i="32"/>
  <c r="I101" i="32"/>
  <c r="I103" i="32"/>
  <c r="I105" i="32"/>
  <c r="I106" i="32"/>
  <c r="I107" i="32"/>
  <c r="I108" i="32"/>
  <c r="I8" i="32"/>
  <c r="BI43" i="12"/>
  <c r="BJ43" i="12"/>
  <c r="BI41" i="12"/>
  <c r="BJ41" i="12"/>
  <c r="BI30" i="12"/>
  <c r="BJ30" i="12"/>
  <c r="BI18" i="12"/>
  <c r="BJ18" i="12"/>
  <c r="BI17" i="12"/>
  <c r="BJ17" i="12"/>
  <c r="I9" i="29"/>
  <c r="I10" i="29"/>
  <c r="I11" i="29"/>
  <c r="I12" i="29"/>
  <c r="I13" i="29"/>
  <c r="I14" i="29"/>
  <c r="I15" i="29"/>
  <c r="I16" i="29"/>
  <c r="I17" i="29"/>
  <c r="I18" i="29"/>
  <c r="I19" i="29"/>
  <c r="I20" i="29"/>
  <c r="I21" i="29"/>
  <c r="I22" i="29"/>
  <c r="I23" i="29"/>
  <c r="I24" i="29"/>
  <c r="I25" i="29"/>
  <c r="I26" i="29"/>
  <c r="I27" i="29"/>
  <c r="I28" i="29"/>
  <c r="I29" i="29"/>
  <c r="I30" i="29"/>
  <c r="I31" i="29"/>
  <c r="I32" i="29"/>
  <c r="I33" i="29"/>
  <c r="I34" i="29"/>
  <c r="I35" i="29"/>
  <c r="I36" i="29"/>
  <c r="I37" i="29"/>
  <c r="I38" i="29"/>
  <c r="I39" i="29"/>
  <c r="I40" i="29"/>
  <c r="I41" i="29"/>
  <c r="I42" i="29"/>
  <c r="I43" i="29"/>
  <c r="I44" i="29"/>
  <c r="I45" i="29"/>
  <c r="I46" i="29"/>
  <c r="I47" i="29"/>
  <c r="I48" i="29"/>
  <c r="I49" i="29"/>
  <c r="I50" i="29"/>
  <c r="I51" i="29"/>
  <c r="I52" i="29"/>
  <c r="I53" i="29"/>
  <c r="I54" i="29"/>
  <c r="I55" i="29"/>
  <c r="I56" i="29"/>
  <c r="I57" i="29"/>
  <c r="I58" i="29"/>
  <c r="I59" i="29"/>
  <c r="I60" i="29"/>
  <c r="I61" i="29"/>
  <c r="I62" i="29"/>
  <c r="I63" i="29"/>
  <c r="I64" i="29"/>
  <c r="I65" i="29"/>
  <c r="I66" i="29"/>
  <c r="I67" i="29"/>
  <c r="I68" i="29"/>
  <c r="I69" i="29"/>
  <c r="I70" i="29"/>
  <c r="I71" i="29"/>
  <c r="I72" i="29"/>
  <c r="I73" i="29"/>
  <c r="I74" i="29"/>
  <c r="I75" i="29"/>
  <c r="I76" i="29"/>
  <c r="I77" i="29"/>
  <c r="I78" i="29"/>
  <c r="I79" i="29"/>
  <c r="I80" i="29"/>
  <c r="I81" i="29"/>
  <c r="I82" i="29"/>
  <c r="I83" i="29"/>
  <c r="I84" i="29"/>
  <c r="I85" i="29"/>
  <c r="I86" i="29"/>
  <c r="I87" i="29"/>
  <c r="I88" i="29"/>
  <c r="I89" i="29"/>
  <c r="I90" i="29"/>
  <c r="I91" i="29"/>
  <c r="I92" i="29"/>
  <c r="I93" i="29"/>
  <c r="I94" i="29"/>
  <c r="I95" i="29"/>
  <c r="I97" i="29"/>
  <c r="I98" i="29"/>
  <c r="I99" i="29"/>
  <c r="I100" i="29"/>
  <c r="I101" i="29"/>
  <c r="I102" i="29"/>
  <c r="I103" i="29"/>
  <c r="I104" i="29"/>
  <c r="I105" i="29"/>
  <c r="I106" i="29"/>
  <c r="I107" i="29"/>
  <c r="I108" i="29"/>
  <c r="I109" i="29"/>
  <c r="I110" i="29"/>
  <c r="I111" i="29"/>
  <c r="I112" i="29"/>
  <c r="I113" i="29"/>
  <c r="I114" i="29"/>
  <c r="I115" i="29"/>
  <c r="I116" i="29"/>
  <c r="I117" i="29"/>
  <c r="I118" i="29"/>
  <c r="I119" i="29"/>
  <c r="I120" i="29"/>
  <c r="I121" i="29"/>
  <c r="I122" i="29"/>
  <c r="I123" i="29"/>
  <c r="I124" i="29"/>
  <c r="I126" i="29"/>
  <c r="I127" i="29"/>
  <c r="I128" i="29"/>
  <c r="I129" i="29"/>
  <c r="I130" i="29"/>
  <c r="I131" i="29"/>
  <c r="I132" i="29"/>
  <c r="I133" i="29"/>
  <c r="I134" i="29"/>
  <c r="I135" i="29"/>
  <c r="I136" i="29"/>
  <c r="I137" i="29"/>
  <c r="I138" i="29"/>
  <c r="I139" i="29"/>
  <c r="I140" i="29"/>
  <c r="I141" i="29"/>
  <c r="I142" i="29"/>
  <c r="I143" i="29"/>
  <c r="I144" i="29"/>
  <c r="I145" i="29"/>
  <c r="I146" i="29"/>
  <c r="I147" i="29"/>
  <c r="I148" i="29"/>
  <c r="I149" i="29"/>
  <c r="I150" i="29"/>
  <c r="I151" i="29"/>
  <c r="I152" i="29"/>
  <c r="I153" i="29"/>
  <c r="I154" i="29"/>
  <c r="I155" i="29"/>
  <c r="I156" i="29"/>
  <c r="I157" i="29"/>
  <c r="I159" i="29"/>
  <c r="I160" i="29"/>
  <c r="I161" i="29"/>
  <c r="I162" i="29"/>
  <c r="I163" i="29"/>
  <c r="I164" i="29"/>
  <c r="I165" i="29"/>
  <c r="I166" i="29"/>
  <c r="I167" i="29"/>
  <c r="I168" i="29"/>
  <c r="I169" i="29"/>
  <c r="I170" i="29"/>
  <c r="I171" i="29"/>
  <c r="I172" i="29"/>
  <c r="I173" i="29"/>
  <c r="I174" i="29"/>
  <c r="I175" i="29"/>
  <c r="I176" i="29"/>
  <c r="I177" i="29"/>
  <c r="I178" i="29"/>
  <c r="I179" i="29"/>
  <c r="I180" i="29"/>
  <c r="I181" i="29"/>
  <c r="I182" i="29"/>
  <c r="I183" i="29"/>
  <c r="I184" i="29"/>
  <c r="I185" i="29"/>
  <c r="I186" i="29"/>
  <c r="I187" i="29"/>
  <c r="I188" i="29"/>
  <c r="I189" i="29"/>
  <c r="I190" i="29"/>
  <c r="I191" i="29"/>
  <c r="I192" i="29"/>
  <c r="I193" i="29"/>
  <c r="I194" i="29"/>
  <c r="I195" i="29"/>
  <c r="I196" i="29"/>
  <c r="I197" i="29"/>
  <c r="I198" i="29"/>
  <c r="I199" i="29"/>
  <c r="I200" i="29"/>
  <c r="I203" i="29"/>
  <c r="I204" i="29"/>
  <c r="I205" i="29"/>
  <c r="I206" i="29"/>
  <c r="I207" i="29"/>
  <c r="I208" i="29"/>
  <c r="I209" i="29"/>
  <c r="I210" i="29"/>
  <c r="I211" i="29"/>
  <c r="I212" i="29"/>
  <c r="I213" i="29"/>
  <c r="I214" i="29"/>
  <c r="I215" i="29"/>
  <c r="I216" i="29"/>
  <c r="I217" i="29"/>
  <c r="I218" i="29"/>
  <c r="I219" i="29"/>
  <c r="I220" i="29"/>
  <c r="I221" i="29"/>
  <c r="I222" i="29"/>
  <c r="I223" i="29"/>
  <c r="I224" i="29"/>
  <c r="I225" i="29"/>
  <c r="I226" i="29"/>
  <c r="I227" i="29"/>
  <c r="I228" i="29"/>
  <c r="I229" i="29"/>
  <c r="I230" i="29"/>
  <c r="I231" i="29"/>
  <c r="I232" i="29"/>
  <c r="I233" i="29"/>
  <c r="I234" i="29"/>
  <c r="I235" i="29"/>
  <c r="I236" i="29"/>
  <c r="I237" i="29"/>
  <c r="I238" i="29"/>
  <c r="I239" i="29"/>
  <c r="I240" i="29"/>
  <c r="I241" i="29"/>
  <c r="I242" i="29"/>
  <c r="I243" i="29"/>
  <c r="I245" i="29"/>
  <c r="I246" i="29"/>
  <c r="I247" i="29"/>
  <c r="I248" i="29"/>
  <c r="I249" i="29"/>
  <c r="I250" i="29"/>
  <c r="I251" i="29"/>
  <c r="I252" i="29"/>
  <c r="I253" i="29"/>
  <c r="I254" i="29"/>
  <c r="I255" i="29"/>
  <c r="I256" i="29"/>
  <c r="I257" i="29"/>
  <c r="I258" i="29"/>
  <c r="I259" i="29"/>
  <c r="I260" i="29"/>
  <c r="I261" i="29"/>
  <c r="I262" i="29"/>
  <c r="I263" i="29"/>
  <c r="I264" i="29"/>
  <c r="I265" i="29"/>
  <c r="I266" i="29"/>
  <c r="I267" i="29"/>
  <c r="I268" i="29"/>
  <c r="I269" i="29"/>
  <c r="I270" i="29"/>
  <c r="I271" i="29"/>
  <c r="I272" i="29"/>
  <c r="I273" i="29"/>
  <c r="I274" i="29"/>
  <c r="I275" i="29"/>
  <c r="I276" i="29"/>
  <c r="I277" i="29"/>
  <c r="I278" i="29"/>
  <c r="I279" i="29"/>
  <c r="I280" i="29"/>
  <c r="I281" i="29"/>
  <c r="I282" i="29"/>
  <c r="I283" i="29"/>
  <c r="I284" i="29"/>
  <c r="I285" i="29"/>
  <c r="I286" i="29"/>
  <c r="I287" i="29"/>
  <c r="I288" i="29"/>
  <c r="I289" i="29"/>
  <c r="I290" i="29"/>
  <c r="I291" i="29"/>
  <c r="I292" i="29"/>
  <c r="I293" i="29"/>
  <c r="I294" i="29"/>
  <c r="I295" i="29"/>
  <c r="I296" i="29"/>
  <c r="I300" i="29"/>
  <c r="I301" i="29"/>
  <c r="I302" i="29"/>
  <c r="I303" i="29"/>
  <c r="I304" i="29"/>
  <c r="I305" i="29"/>
  <c r="I306" i="29"/>
  <c r="I307" i="29"/>
  <c r="I308" i="29"/>
  <c r="I309" i="29"/>
  <c r="I310" i="29"/>
  <c r="I311" i="29"/>
  <c r="I312" i="29"/>
  <c r="I313" i="29"/>
  <c r="I314" i="29"/>
  <c r="I315" i="29"/>
  <c r="I316" i="29"/>
  <c r="I317" i="29"/>
  <c r="I318" i="29"/>
  <c r="I319" i="29"/>
  <c r="I320" i="29"/>
  <c r="I321" i="29"/>
  <c r="I322" i="29"/>
  <c r="I323" i="29"/>
  <c r="I324" i="29"/>
  <c r="I325" i="29"/>
  <c r="I326" i="29"/>
  <c r="I328" i="29"/>
  <c r="I329" i="29"/>
  <c r="I330" i="29"/>
  <c r="I331" i="29"/>
  <c r="I332" i="29"/>
  <c r="I333" i="29"/>
  <c r="I334" i="29"/>
  <c r="I335" i="29"/>
  <c r="I336" i="29"/>
  <c r="I337" i="29"/>
  <c r="I338" i="29"/>
  <c r="I339" i="29"/>
  <c r="I340" i="29"/>
  <c r="I341" i="29"/>
  <c r="I342" i="29"/>
  <c r="I343" i="29"/>
  <c r="I344" i="29"/>
  <c r="I345" i="29"/>
  <c r="I346" i="29"/>
  <c r="I347" i="29"/>
  <c r="I348" i="29"/>
  <c r="I349" i="29"/>
  <c r="I350" i="29"/>
  <c r="I351" i="29"/>
  <c r="I352" i="29"/>
  <c r="I353" i="29"/>
  <c r="I354" i="29"/>
  <c r="I355" i="29"/>
  <c r="I356" i="29"/>
  <c r="I357" i="29"/>
  <c r="I358" i="29"/>
  <c r="I359" i="29"/>
  <c r="I360" i="29"/>
  <c r="I361" i="29"/>
  <c r="I362" i="29"/>
  <c r="I363" i="29"/>
  <c r="I364" i="29"/>
  <c r="I365" i="29"/>
  <c r="I366" i="29"/>
  <c r="I367" i="29"/>
  <c r="I368" i="29"/>
  <c r="I369" i="29"/>
  <c r="I370" i="29"/>
  <c r="I371" i="29"/>
  <c r="I373" i="29"/>
  <c r="I374" i="29"/>
  <c r="I375" i="29"/>
  <c r="I376" i="29"/>
  <c r="I377" i="29"/>
  <c r="I378" i="29"/>
  <c r="I379" i="29"/>
  <c r="I380" i="29"/>
  <c r="I381" i="29"/>
  <c r="I382" i="29"/>
  <c r="I383" i="29"/>
  <c r="I384" i="29"/>
  <c r="I385" i="29"/>
  <c r="I386" i="29"/>
  <c r="I387" i="29"/>
  <c r="I388" i="29"/>
  <c r="I389" i="29"/>
  <c r="I390" i="29"/>
  <c r="I391" i="29"/>
  <c r="I392" i="29"/>
  <c r="I393" i="29"/>
  <c r="I394" i="29"/>
  <c r="I395" i="29"/>
  <c r="I396" i="29"/>
  <c r="I397" i="29"/>
  <c r="I398" i="29"/>
  <c r="I399" i="29"/>
  <c r="I400" i="29"/>
  <c r="I401" i="29"/>
  <c r="I402" i="29"/>
  <c r="I403" i="29"/>
  <c r="I404" i="29"/>
  <c r="I405" i="29"/>
  <c r="I406" i="29"/>
  <c r="I407" i="29"/>
  <c r="I408" i="29"/>
  <c r="I409" i="29"/>
  <c r="I410" i="29"/>
  <c r="I411" i="29"/>
  <c r="I412" i="29"/>
  <c r="I414" i="29"/>
  <c r="I415" i="29"/>
  <c r="I416" i="29"/>
  <c r="I417" i="29"/>
  <c r="I418" i="29"/>
  <c r="I419" i="29"/>
  <c r="I420" i="29"/>
  <c r="I421" i="29"/>
  <c r="I422" i="29"/>
  <c r="I423" i="29"/>
  <c r="I424" i="29"/>
  <c r="I425" i="29"/>
  <c r="I426" i="29"/>
  <c r="I427" i="29"/>
  <c r="I428" i="29"/>
  <c r="I429" i="29"/>
  <c r="I430" i="29"/>
  <c r="I431" i="29"/>
  <c r="I432" i="29"/>
  <c r="I433" i="29"/>
  <c r="I434" i="29"/>
  <c r="I435" i="29"/>
  <c r="I436" i="29"/>
  <c r="I437" i="29"/>
  <c r="I438" i="29"/>
  <c r="I439" i="29"/>
  <c r="I440" i="29"/>
  <c r="I441" i="29"/>
  <c r="I442" i="29"/>
  <c r="I443" i="29"/>
  <c r="I444" i="29"/>
  <c r="I445" i="29"/>
  <c r="I447" i="29"/>
  <c r="I449" i="29"/>
  <c r="I450" i="29"/>
  <c r="I451" i="29"/>
  <c r="I452" i="29"/>
  <c r="I453" i="29"/>
  <c r="I454" i="29"/>
  <c r="I455" i="29"/>
  <c r="I456" i="29"/>
  <c r="I457" i="29"/>
  <c r="I458" i="29"/>
  <c r="I459" i="29"/>
  <c r="I460" i="29"/>
  <c r="I461" i="29"/>
  <c r="I462" i="29"/>
  <c r="I463" i="29"/>
  <c r="I464" i="29"/>
  <c r="I465" i="29"/>
  <c r="I466" i="29"/>
  <c r="I467" i="29"/>
  <c r="I468" i="29"/>
  <c r="I469" i="29"/>
  <c r="I470" i="29"/>
  <c r="I471" i="29"/>
  <c r="I472" i="29"/>
  <c r="I473" i="29"/>
  <c r="I474" i="29"/>
  <c r="I475" i="29"/>
  <c r="I476" i="29"/>
  <c r="I477" i="29"/>
  <c r="I478" i="29"/>
  <c r="I479" i="29"/>
  <c r="I480" i="29"/>
  <c r="I481" i="29"/>
  <c r="I482" i="29"/>
  <c r="I483" i="29"/>
  <c r="I484" i="29"/>
  <c r="I485" i="29"/>
  <c r="I486" i="29"/>
  <c r="I487" i="29"/>
  <c r="I488" i="29"/>
  <c r="I489" i="29"/>
  <c r="I490" i="29"/>
  <c r="I491" i="29"/>
  <c r="I492" i="29"/>
  <c r="I493" i="29"/>
  <c r="I494" i="29"/>
  <c r="I495" i="29"/>
  <c r="I498" i="29"/>
  <c r="I499" i="29"/>
  <c r="I500" i="29"/>
  <c r="I501" i="29"/>
  <c r="I502" i="29"/>
  <c r="I503" i="29"/>
  <c r="I504" i="29"/>
  <c r="I505" i="29"/>
  <c r="I506" i="29"/>
  <c r="I507" i="29"/>
  <c r="I508" i="29"/>
  <c r="I509" i="29"/>
  <c r="I510" i="29"/>
  <c r="I511" i="29"/>
  <c r="I512" i="29"/>
  <c r="I513" i="29"/>
  <c r="I514" i="29"/>
  <c r="I515" i="29"/>
  <c r="I516" i="29"/>
  <c r="I517" i="29"/>
  <c r="I518" i="29"/>
  <c r="I519" i="29"/>
  <c r="I520" i="29"/>
  <c r="I521" i="29"/>
  <c r="I522" i="29"/>
  <c r="I523" i="29"/>
  <c r="I524" i="29"/>
  <c r="I525" i="29"/>
  <c r="I526" i="29"/>
  <c r="I527" i="29"/>
  <c r="I528" i="29"/>
  <c r="I529" i="29"/>
  <c r="I530" i="29"/>
  <c r="I531" i="29"/>
  <c r="I532" i="29"/>
  <c r="I533" i="29"/>
  <c r="I534" i="29"/>
  <c r="I536" i="29"/>
  <c r="I537" i="29"/>
  <c r="I538" i="29"/>
  <c r="I539" i="29"/>
  <c r="I540" i="29"/>
  <c r="I541" i="29"/>
  <c r="I542" i="29"/>
  <c r="I543" i="29"/>
  <c r="I544" i="29"/>
  <c r="I545" i="29"/>
  <c r="I546" i="29"/>
  <c r="I547" i="29"/>
  <c r="I548" i="29"/>
  <c r="I549" i="29"/>
  <c r="I550" i="29"/>
  <c r="I551" i="29"/>
  <c r="I552" i="29"/>
  <c r="I553" i="29"/>
  <c r="I554" i="29"/>
  <c r="I555" i="29"/>
  <c r="I556" i="29"/>
  <c r="I557" i="29"/>
  <c r="I558" i="29"/>
  <c r="I559" i="29"/>
  <c r="I560" i="29"/>
  <c r="I561" i="29"/>
  <c r="I562" i="29"/>
  <c r="I563" i="29"/>
  <c r="I564" i="29"/>
  <c r="I565" i="29"/>
  <c r="I566" i="29"/>
  <c r="I567" i="29"/>
  <c r="I568" i="29"/>
  <c r="I569" i="29"/>
  <c r="I570" i="29"/>
  <c r="I571" i="29"/>
  <c r="I572" i="29"/>
  <c r="I573" i="29"/>
  <c r="I574" i="29"/>
  <c r="I575" i="29"/>
  <c r="I576" i="29"/>
  <c r="I577" i="29"/>
  <c r="I578" i="29"/>
  <c r="I579" i="29"/>
  <c r="I580" i="29"/>
  <c r="I581" i="29"/>
  <c r="I582" i="29"/>
  <c r="I583" i="29"/>
  <c r="I584" i="29"/>
  <c r="I585" i="29"/>
  <c r="I586" i="29"/>
  <c r="I587" i="29"/>
  <c r="I588" i="29"/>
  <c r="I589" i="29"/>
  <c r="I590" i="29"/>
  <c r="I591" i="29"/>
  <c r="I592" i="29"/>
  <c r="I593" i="29"/>
  <c r="I594" i="29"/>
  <c r="I595" i="29"/>
  <c r="I596" i="29"/>
  <c r="I597" i="29"/>
  <c r="I598" i="29"/>
  <c r="I599" i="29"/>
  <c r="I600" i="29"/>
  <c r="I601" i="29"/>
  <c r="I602" i="29"/>
  <c r="I603" i="29"/>
  <c r="I604" i="29"/>
  <c r="I606" i="29"/>
  <c r="I607" i="29"/>
  <c r="I608" i="29"/>
  <c r="I609" i="29"/>
  <c r="I610" i="29"/>
  <c r="I611" i="29"/>
  <c r="I612" i="29"/>
  <c r="I613" i="29"/>
  <c r="I614" i="29"/>
  <c r="I615" i="29"/>
  <c r="I616" i="29"/>
  <c r="I617" i="29"/>
  <c r="I618" i="29"/>
  <c r="I619" i="29"/>
  <c r="I620" i="29"/>
  <c r="I621" i="29"/>
  <c r="I622" i="29"/>
  <c r="I623" i="29"/>
  <c r="I624" i="29"/>
  <c r="I625" i="29"/>
  <c r="I626" i="29"/>
  <c r="I628" i="29"/>
  <c r="I629" i="29"/>
  <c r="I630" i="29"/>
  <c r="I631" i="29"/>
  <c r="I632" i="29"/>
  <c r="I633" i="29"/>
  <c r="I634" i="29"/>
  <c r="I635" i="29"/>
  <c r="I636" i="29"/>
  <c r="I637" i="29"/>
  <c r="I638" i="29"/>
  <c r="I639" i="29"/>
  <c r="I640" i="29"/>
  <c r="I641" i="29"/>
  <c r="I642" i="29"/>
  <c r="I643" i="29"/>
  <c r="I644" i="29"/>
  <c r="I645" i="29"/>
  <c r="I646" i="29"/>
  <c r="I647" i="29"/>
  <c r="I648" i="29"/>
  <c r="I649" i="29"/>
  <c r="I650" i="29"/>
  <c r="I651" i="29"/>
  <c r="I652" i="29"/>
  <c r="I653" i="29"/>
  <c r="I654" i="29"/>
  <c r="I655" i="29"/>
  <c r="I656" i="29"/>
  <c r="I657" i="29"/>
  <c r="I658" i="29"/>
  <c r="I660" i="29"/>
  <c r="I661" i="29"/>
  <c r="I662" i="29"/>
  <c r="I663" i="29"/>
  <c r="I664" i="29"/>
  <c r="I665" i="29"/>
  <c r="I666" i="29"/>
  <c r="I667" i="29"/>
  <c r="I668" i="29"/>
  <c r="I669" i="29"/>
  <c r="I670" i="29"/>
  <c r="I671" i="29"/>
  <c r="I672" i="29"/>
  <c r="I673" i="29"/>
  <c r="I674" i="29"/>
  <c r="I675" i="29"/>
  <c r="I676" i="29"/>
  <c r="I677" i="29"/>
  <c r="I678" i="29"/>
  <c r="I679" i="29"/>
  <c r="I680" i="29"/>
  <c r="I681" i="29"/>
  <c r="I682" i="29"/>
  <c r="I683" i="29"/>
  <c r="I684" i="29"/>
  <c r="I685" i="29"/>
  <c r="I686" i="29"/>
  <c r="I687" i="29"/>
  <c r="I688" i="29"/>
  <c r="I689" i="29"/>
  <c r="I690" i="29"/>
  <c r="I691" i="29"/>
  <c r="I692" i="29"/>
  <c r="I693" i="29"/>
  <c r="I694" i="29"/>
  <c r="I695" i="29"/>
  <c r="I696" i="29"/>
  <c r="I697" i="29"/>
  <c r="I698" i="29"/>
  <c r="I699" i="29"/>
  <c r="I700" i="29"/>
  <c r="I701" i="29"/>
  <c r="I702" i="29"/>
  <c r="I704" i="29"/>
  <c r="I705" i="29"/>
  <c r="I706" i="29"/>
  <c r="I707" i="29"/>
  <c r="I708" i="29"/>
  <c r="I709" i="29"/>
  <c r="I710" i="29"/>
  <c r="I711" i="29"/>
  <c r="I712" i="29"/>
  <c r="I713" i="29"/>
  <c r="I714" i="29"/>
  <c r="I715" i="29"/>
  <c r="I716" i="29"/>
  <c r="I717" i="29"/>
  <c r="I718" i="29"/>
  <c r="I719" i="29"/>
  <c r="I720" i="29"/>
  <c r="I721" i="29"/>
  <c r="I722" i="29"/>
  <c r="I723" i="29"/>
  <c r="I724" i="29"/>
  <c r="I725" i="29"/>
  <c r="I726" i="29"/>
  <c r="I727" i="29"/>
  <c r="I728" i="29"/>
  <c r="I729" i="29"/>
  <c r="I730" i="29"/>
  <c r="I731" i="29"/>
  <c r="I732" i="29"/>
  <c r="I733" i="29"/>
  <c r="I734" i="29"/>
  <c r="I735" i="29"/>
  <c r="I736" i="29"/>
  <c r="I737" i="29"/>
  <c r="I738" i="29"/>
  <c r="I739" i="29"/>
  <c r="I740" i="29"/>
  <c r="I741" i="29"/>
  <c r="I742" i="29"/>
  <c r="I743" i="29"/>
  <c r="I744" i="29"/>
  <c r="I745" i="29"/>
  <c r="I746" i="29"/>
  <c r="I747" i="29"/>
  <c r="I750" i="29"/>
  <c r="I751" i="29"/>
  <c r="I752" i="29"/>
  <c r="I753" i="29"/>
  <c r="I754" i="29"/>
  <c r="I755" i="29"/>
  <c r="I756" i="29"/>
  <c r="I757" i="29"/>
  <c r="I758" i="29"/>
  <c r="I759" i="29"/>
  <c r="I760" i="29"/>
  <c r="I761" i="29"/>
  <c r="I762" i="29"/>
  <c r="I763" i="29"/>
  <c r="I764" i="29"/>
  <c r="I765" i="29"/>
  <c r="I766" i="29"/>
  <c r="I767" i="29"/>
  <c r="I768" i="29"/>
  <c r="I769" i="29"/>
  <c r="I770" i="29"/>
  <c r="I771" i="29"/>
  <c r="I772" i="29"/>
  <c r="I773" i="29"/>
  <c r="I774" i="29"/>
  <c r="I775" i="29"/>
  <c r="I776" i="29"/>
  <c r="I777" i="29"/>
  <c r="I778" i="29"/>
  <c r="I779" i="29"/>
  <c r="I780" i="29"/>
  <c r="I781" i="29"/>
  <c r="I782" i="29"/>
  <c r="I783" i="29"/>
  <c r="I784" i="29"/>
  <c r="I785" i="29"/>
  <c r="I787" i="29"/>
  <c r="I788" i="29"/>
  <c r="I789" i="29"/>
  <c r="I790" i="29"/>
  <c r="I791" i="29"/>
  <c r="I792" i="29"/>
  <c r="I793" i="29"/>
  <c r="I794" i="29"/>
  <c r="I795" i="29"/>
  <c r="I796" i="29"/>
  <c r="I797" i="29"/>
  <c r="I798" i="29"/>
  <c r="I799" i="29"/>
  <c r="I800" i="29"/>
  <c r="I801" i="29"/>
  <c r="I802" i="29"/>
  <c r="I803" i="29"/>
  <c r="I804" i="29"/>
  <c r="I805" i="29"/>
  <c r="I806" i="29"/>
  <c r="I807" i="29"/>
  <c r="I808" i="29"/>
  <c r="I809" i="29"/>
  <c r="I810" i="29"/>
  <c r="I811" i="29"/>
  <c r="I812" i="29"/>
  <c r="I813" i="29"/>
  <c r="I814" i="29"/>
  <c r="I815" i="29"/>
  <c r="I816" i="29"/>
  <c r="I817" i="29"/>
  <c r="I818" i="29"/>
  <c r="I819" i="29"/>
  <c r="I820" i="29"/>
  <c r="I821" i="29"/>
  <c r="I822" i="29"/>
  <c r="I823" i="29"/>
  <c r="I824" i="29"/>
  <c r="I825" i="29"/>
  <c r="I826" i="29"/>
  <c r="I827" i="29"/>
  <c r="I828" i="29"/>
  <c r="I829" i="29"/>
  <c r="I830" i="29"/>
  <c r="I831" i="29"/>
  <c r="I832" i="29"/>
  <c r="I833" i="29"/>
  <c r="I834" i="29"/>
  <c r="I835" i="29"/>
  <c r="I836" i="29"/>
  <c r="I837" i="29"/>
  <c r="I838" i="29"/>
  <c r="I839" i="29"/>
  <c r="I840" i="29"/>
  <c r="I841" i="29"/>
  <c r="I842" i="29"/>
  <c r="I843" i="29"/>
  <c r="I844" i="29"/>
  <c r="I845" i="29"/>
  <c r="I846" i="29"/>
  <c r="I847" i="29"/>
  <c r="I848" i="29"/>
  <c r="I849" i="29"/>
  <c r="I850" i="29"/>
  <c r="I851" i="29"/>
  <c r="I852" i="29"/>
  <c r="I853" i="29"/>
  <c r="I854" i="29"/>
  <c r="I855" i="29"/>
  <c r="I856" i="29"/>
  <c r="I857" i="29"/>
  <c r="I858" i="29"/>
  <c r="I859" i="29"/>
  <c r="I860" i="29"/>
  <c r="I861" i="29"/>
  <c r="I862" i="29"/>
  <c r="I863" i="29"/>
  <c r="I864" i="29"/>
  <c r="I865" i="29"/>
  <c r="I866" i="29"/>
  <c r="I867" i="29"/>
  <c r="I868" i="29"/>
  <c r="I869" i="29"/>
  <c r="I870" i="29"/>
  <c r="I871" i="29"/>
  <c r="I872" i="29"/>
  <c r="I873" i="29"/>
  <c r="I874" i="29"/>
  <c r="I875" i="29"/>
  <c r="I876" i="29"/>
  <c r="I877" i="29"/>
  <c r="I878" i="29"/>
  <c r="I879" i="29"/>
  <c r="I880" i="29"/>
  <c r="I881" i="29"/>
  <c r="I882" i="29"/>
  <c r="I883" i="29"/>
  <c r="I884" i="29"/>
  <c r="I885" i="29"/>
  <c r="I886" i="29"/>
  <c r="I887" i="29"/>
  <c r="I888" i="29"/>
  <c r="I889" i="29"/>
  <c r="I890" i="29"/>
  <c r="I891" i="29"/>
  <c r="I892" i="29"/>
  <c r="I893" i="29"/>
  <c r="I894" i="29"/>
  <c r="I895" i="29"/>
  <c r="I896" i="29"/>
  <c r="I897" i="29"/>
  <c r="I898" i="29"/>
  <c r="I899" i="29"/>
  <c r="I900" i="29"/>
  <c r="I901" i="29"/>
  <c r="I902" i="29"/>
  <c r="I903" i="29"/>
  <c r="I904" i="29"/>
  <c r="I905" i="29"/>
  <c r="I906" i="29"/>
  <c r="I907" i="29"/>
  <c r="I910" i="29"/>
  <c r="I911" i="29"/>
  <c r="I912" i="29"/>
  <c r="I913" i="29"/>
  <c r="I914" i="29"/>
  <c r="I915" i="29"/>
  <c r="I916" i="29"/>
  <c r="I917" i="29"/>
  <c r="I918" i="29"/>
  <c r="I919" i="29"/>
  <c r="I920" i="29"/>
  <c r="I921" i="29"/>
  <c r="I922" i="29"/>
  <c r="I923" i="29"/>
  <c r="I924" i="29"/>
  <c r="I925" i="29"/>
  <c r="I926" i="29"/>
  <c r="I927" i="29"/>
  <c r="I928" i="29"/>
  <c r="I929" i="29"/>
  <c r="I930" i="29"/>
  <c r="I931" i="29"/>
  <c r="I932" i="29"/>
  <c r="I933" i="29"/>
  <c r="I934" i="29"/>
  <c r="I935" i="29"/>
  <c r="I936" i="29"/>
  <c r="I937" i="29"/>
  <c r="I938" i="29"/>
  <c r="I939" i="29"/>
  <c r="I940" i="29"/>
  <c r="I941" i="29"/>
  <c r="I942" i="29"/>
  <c r="I944" i="29"/>
  <c r="I945" i="29"/>
  <c r="I946" i="29"/>
  <c r="I947" i="29"/>
  <c r="I948" i="29"/>
  <c r="I949" i="29"/>
  <c r="I950" i="29"/>
  <c r="I951" i="29"/>
  <c r="I952" i="29"/>
  <c r="I953" i="29"/>
  <c r="I954" i="29"/>
  <c r="I955" i="29"/>
  <c r="I956" i="29"/>
  <c r="I957" i="29"/>
  <c r="I958" i="29"/>
  <c r="I959" i="29"/>
  <c r="I960" i="29"/>
  <c r="I961" i="29"/>
  <c r="I962" i="29"/>
  <c r="I963" i="29"/>
  <c r="I964" i="29"/>
  <c r="I965" i="29"/>
  <c r="I966" i="29"/>
  <c r="I967" i="29"/>
  <c r="I968" i="29"/>
  <c r="I969" i="29"/>
  <c r="I970" i="29"/>
  <c r="I971" i="29"/>
  <c r="I972" i="29"/>
  <c r="I973" i="29"/>
  <c r="I974" i="29"/>
  <c r="I975" i="29"/>
  <c r="I976" i="29"/>
  <c r="I977" i="29"/>
  <c r="I978" i="29"/>
  <c r="I979" i="29"/>
  <c r="I980" i="29"/>
  <c r="I981" i="29"/>
  <c r="I982" i="29"/>
  <c r="I983" i="29"/>
  <c r="I984" i="29"/>
  <c r="I985" i="29"/>
  <c r="I986" i="29"/>
  <c r="I987" i="29"/>
  <c r="I988" i="29"/>
  <c r="I989" i="29"/>
  <c r="I990" i="29"/>
  <c r="I991" i="29"/>
  <c r="I992" i="29"/>
  <c r="I993" i="29"/>
  <c r="I994" i="29"/>
  <c r="I995" i="29"/>
  <c r="I996" i="29"/>
  <c r="I997" i="29"/>
  <c r="I998" i="29"/>
  <c r="I999" i="29"/>
  <c r="I1000" i="29"/>
  <c r="I1001" i="29"/>
  <c r="I1002" i="29"/>
  <c r="I1003" i="29"/>
  <c r="I1004" i="29"/>
  <c r="I1005" i="29"/>
  <c r="I1006" i="29"/>
  <c r="I1007" i="29"/>
  <c r="I1008" i="29"/>
  <c r="I1009" i="29"/>
  <c r="I1010" i="29"/>
  <c r="I1011" i="29"/>
  <c r="I1012" i="29"/>
  <c r="I1013" i="29"/>
  <c r="I1014" i="29"/>
  <c r="I1015" i="29"/>
  <c r="I1016" i="29"/>
  <c r="I1017" i="29"/>
  <c r="I1018" i="29"/>
  <c r="I1019" i="29"/>
  <c r="I1020" i="29"/>
  <c r="I1021" i="29"/>
  <c r="I1023" i="29"/>
  <c r="I1025" i="29"/>
  <c r="I1026" i="29"/>
  <c r="I1027" i="29"/>
  <c r="I1028" i="29"/>
  <c r="I1029" i="29"/>
  <c r="I1030" i="29"/>
  <c r="I1031" i="29"/>
  <c r="I1032" i="29"/>
  <c r="I1033" i="29"/>
  <c r="I1034" i="29"/>
  <c r="I1035" i="29"/>
  <c r="I1036" i="29"/>
  <c r="I1037" i="29"/>
  <c r="I1038" i="29"/>
  <c r="I1039" i="29"/>
  <c r="I1040" i="29"/>
  <c r="I1041" i="29"/>
  <c r="I1042" i="29"/>
  <c r="I1043" i="29"/>
  <c r="I1044" i="29"/>
  <c r="I1045" i="29"/>
  <c r="I1046" i="29"/>
  <c r="I1047" i="29"/>
  <c r="I1048" i="29"/>
  <c r="I1049" i="29"/>
  <c r="I1050" i="29"/>
  <c r="I1053" i="29"/>
  <c r="I1054" i="29"/>
  <c r="I1055" i="29"/>
  <c r="I1056" i="29"/>
  <c r="I1057" i="29"/>
  <c r="I1058" i="29"/>
  <c r="I1059" i="29"/>
  <c r="I1060" i="29"/>
  <c r="I1061" i="29"/>
  <c r="I1062" i="29"/>
  <c r="I1063" i="29"/>
  <c r="I1064" i="29"/>
  <c r="I1065" i="29"/>
  <c r="I1066" i="29"/>
  <c r="I1067" i="29"/>
  <c r="I1068" i="29"/>
  <c r="I1069" i="29"/>
  <c r="I1070" i="29"/>
  <c r="I1071" i="29"/>
  <c r="I1072" i="29"/>
  <c r="I1073" i="29"/>
  <c r="I1074" i="29"/>
  <c r="I1075" i="29"/>
  <c r="I1076" i="29"/>
  <c r="I1077" i="29"/>
  <c r="I1078" i="29"/>
  <c r="I1079" i="29"/>
  <c r="I1080" i="29"/>
  <c r="I1081" i="29"/>
  <c r="I1082" i="29"/>
  <c r="I1083" i="29"/>
  <c r="I1084" i="29"/>
  <c r="I1085" i="29"/>
  <c r="I1086" i="29"/>
  <c r="I1087" i="29"/>
  <c r="I1089" i="29"/>
  <c r="I1090" i="29"/>
  <c r="I1091" i="29"/>
  <c r="I1092" i="29"/>
  <c r="I1093" i="29"/>
  <c r="I1094" i="29"/>
  <c r="I1095" i="29"/>
  <c r="I1096" i="29"/>
  <c r="I1097" i="29"/>
  <c r="I1098" i="29"/>
  <c r="I1099" i="29"/>
  <c r="I1100" i="29"/>
  <c r="I1101" i="29"/>
  <c r="I1102" i="29"/>
  <c r="I1103" i="29"/>
  <c r="I1104" i="29"/>
  <c r="I1105" i="29"/>
  <c r="I1106" i="29"/>
  <c r="I1107" i="29"/>
  <c r="I1108" i="29"/>
  <c r="I1109" i="29"/>
  <c r="I1110" i="29"/>
  <c r="I1111" i="29"/>
  <c r="I1112" i="29"/>
  <c r="I1113" i="29"/>
  <c r="I1114" i="29"/>
  <c r="I1115" i="29"/>
  <c r="I1116" i="29"/>
  <c r="I1117" i="29"/>
  <c r="I1118" i="29"/>
  <c r="I1119" i="29"/>
  <c r="I1120" i="29"/>
  <c r="I1121" i="29"/>
  <c r="I1122" i="29"/>
  <c r="I1123" i="29"/>
  <c r="I1124" i="29"/>
  <c r="I1125" i="29"/>
  <c r="I1126" i="29"/>
  <c r="I1127" i="29"/>
  <c r="I1128" i="29"/>
  <c r="I1129" i="29"/>
  <c r="I1130" i="29"/>
  <c r="I1131" i="29"/>
  <c r="I1132" i="29"/>
  <c r="I1133" i="29"/>
  <c r="I1134" i="29"/>
  <c r="I1135" i="29"/>
  <c r="I1137" i="29"/>
  <c r="I1138" i="29"/>
  <c r="I1139" i="29"/>
  <c r="I1140" i="29"/>
  <c r="I1141" i="29"/>
  <c r="I1142" i="29"/>
  <c r="I1143" i="29"/>
  <c r="I1144" i="29"/>
  <c r="I1145" i="29"/>
  <c r="I1146" i="29"/>
  <c r="I1147" i="29"/>
  <c r="I1148" i="29"/>
  <c r="I1149" i="29"/>
  <c r="I1150" i="29"/>
  <c r="I1151" i="29"/>
  <c r="I1152" i="29"/>
  <c r="I1153" i="29"/>
  <c r="I1154" i="29"/>
  <c r="I1155" i="29"/>
  <c r="I1156" i="29"/>
  <c r="I1157" i="29"/>
  <c r="I1158" i="29"/>
  <c r="I1159" i="29"/>
  <c r="I1160" i="29"/>
  <c r="I1161" i="29"/>
  <c r="I1162" i="29"/>
  <c r="I1163" i="29"/>
  <c r="I1164" i="29"/>
  <c r="I1165" i="29"/>
  <c r="I1166" i="29"/>
  <c r="I1167" i="29"/>
  <c r="I1168" i="29"/>
  <c r="I1169" i="29"/>
  <c r="I1170" i="29"/>
  <c r="I1171" i="29"/>
  <c r="I1172" i="29"/>
  <c r="I1173" i="29"/>
  <c r="I1174" i="29"/>
  <c r="I1175" i="29"/>
  <c r="I1176" i="29"/>
  <c r="I1177" i="29"/>
  <c r="I1178" i="29"/>
  <c r="I1179" i="29"/>
  <c r="I1180" i="29"/>
  <c r="I1181" i="29"/>
  <c r="I1182" i="29"/>
  <c r="I1183" i="29"/>
  <c r="I1184" i="29"/>
  <c r="I1185" i="29"/>
  <c r="I1186" i="29"/>
  <c r="I1187" i="29"/>
  <c r="I1188" i="29"/>
  <c r="I1189" i="29"/>
  <c r="I1190" i="29"/>
  <c r="I1191" i="29"/>
  <c r="I1192" i="29"/>
  <c r="I1193" i="29"/>
  <c r="I1194" i="29"/>
  <c r="I1195" i="29"/>
  <c r="I1196" i="29"/>
  <c r="I1197" i="29"/>
  <c r="I1198" i="29"/>
  <c r="I1199" i="29"/>
  <c r="I1200" i="29"/>
  <c r="I1201" i="29"/>
  <c r="I1202" i="29"/>
  <c r="I1203" i="29"/>
  <c r="I1204" i="29"/>
  <c r="I1205" i="29"/>
  <c r="I1206" i="29"/>
  <c r="I1207" i="29"/>
  <c r="I1208" i="29"/>
  <c r="I1209" i="29"/>
  <c r="I1210" i="29"/>
  <c r="I1211" i="29"/>
  <c r="I1212" i="29"/>
  <c r="I1213" i="29"/>
  <c r="I1214" i="29"/>
  <c r="I1216" i="29"/>
  <c r="I1218" i="29"/>
  <c r="I1219" i="29"/>
  <c r="I1220" i="29"/>
  <c r="I1221" i="29"/>
  <c r="I1222" i="29"/>
  <c r="I1223" i="29"/>
  <c r="I1224" i="29"/>
  <c r="I1225" i="29"/>
  <c r="I1226" i="29"/>
  <c r="I1227" i="29"/>
  <c r="I1228" i="29"/>
  <c r="I1229" i="29"/>
  <c r="I1230" i="29"/>
  <c r="I1231" i="29"/>
  <c r="I1232" i="29"/>
  <c r="I1233" i="29"/>
  <c r="I1234" i="29"/>
  <c r="I1235" i="29"/>
  <c r="I1236" i="29"/>
  <c r="I1237" i="29"/>
  <c r="I1238" i="29"/>
  <c r="I1239" i="29"/>
  <c r="I1240" i="29"/>
  <c r="I1241" i="29"/>
  <c r="I1242" i="29"/>
  <c r="I1243" i="29"/>
  <c r="I1244" i="29"/>
  <c r="I1245" i="29"/>
  <c r="I1246" i="29"/>
  <c r="I1247" i="29"/>
  <c r="I1248" i="29"/>
  <c r="I1249" i="29"/>
  <c r="I1250" i="29"/>
  <c r="I1251" i="29"/>
  <c r="I1252" i="29"/>
  <c r="I1253" i="29"/>
  <c r="I1254" i="29"/>
  <c r="I1255" i="29"/>
  <c r="I1256" i="29"/>
  <c r="I1257" i="29"/>
  <c r="I1258" i="29"/>
  <c r="I1259" i="29"/>
  <c r="I1260" i="29"/>
  <c r="I1261" i="29"/>
  <c r="I1262" i="29"/>
  <c r="I1263" i="29"/>
  <c r="I1264" i="29"/>
  <c r="I1266" i="29"/>
  <c r="I1267" i="29"/>
  <c r="I1268" i="29"/>
  <c r="I1269" i="29"/>
  <c r="I1270" i="29"/>
  <c r="I1271" i="29"/>
  <c r="I1272" i="29"/>
  <c r="I1273" i="29"/>
  <c r="I1274" i="29"/>
  <c r="I1275" i="29"/>
  <c r="I1276" i="29"/>
  <c r="I1277" i="29"/>
  <c r="I1278" i="29"/>
  <c r="I1279" i="29"/>
  <c r="I1280" i="29"/>
  <c r="I1281" i="29"/>
  <c r="I1282" i="29"/>
  <c r="I1283" i="29"/>
  <c r="I1284" i="29"/>
  <c r="I1285" i="29"/>
  <c r="I1286" i="29"/>
  <c r="I1287" i="29"/>
  <c r="I1288" i="29"/>
  <c r="I1289" i="29"/>
  <c r="I1290" i="29"/>
  <c r="I1291" i="29"/>
  <c r="I1293" i="29"/>
  <c r="I1294" i="29"/>
  <c r="I1295" i="29"/>
  <c r="I1296" i="29"/>
  <c r="I1297" i="29"/>
  <c r="I1298" i="29"/>
  <c r="I1299" i="29"/>
  <c r="I1300" i="29"/>
  <c r="I1301" i="29"/>
  <c r="I1302" i="29"/>
  <c r="I1303" i="29"/>
  <c r="I1304" i="29"/>
  <c r="I1305" i="29"/>
  <c r="I1306" i="29"/>
  <c r="I1307" i="29"/>
  <c r="I1308" i="29"/>
  <c r="I1309" i="29"/>
  <c r="I1310" i="29"/>
  <c r="I1311" i="29"/>
  <c r="I1312" i="29"/>
  <c r="I1313" i="29"/>
  <c r="I1314" i="29"/>
  <c r="I1315" i="29"/>
  <c r="I1316" i="29"/>
  <c r="I1317" i="29"/>
  <c r="I1318" i="29"/>
  <c r="I1319" i="29"/>
  <c r="I1320" i="29"/>
  <c r="I1321" i="29"/>
  <c r="I1322" i="29"/>
  <c r="I1323" i="29"/>
  <c r="I1324" i="29"/>
  <c r="I1325" i="29"/>
  <c r="I1326" i="29"/>
  <c r="I1327" i="29"/>
  <c r="I1328" i="29"/>
  <c r="I1329" i="29"/>
  <c r="I1330" i="29"/>
  <c r="I1331" i="29"/>
  <c r="I1332" i="29"/>
  <c r="I1333" i="29"/>
  <c r="I1334" i="29"/>
  <c r="I1335" i="29"/>
  <c r="I1336" i="29"/>
  <c r="I1337" i="29"/>
  <c r="I1338" i="29"/>
  <c r="I1339" i="29"/>
  <c r="I1340" i="29"/>
  <c r="I1342" i="29"/>
  <c r="I1343" i="29"/>
  <c r="I1344" i="29"/>
  <c r="I1345" i="29"/>
  <c r="I1346" i="29"/>
  <c r="I1347" i="29"/>
  <c r="I1348" i="29"/>
  <c r="I1349" i="29"/>
  <c r="I1350" i="29"/>
  <c r="I1351" i="29"/>
  <c r="I1352" i="29"/>
  <c r="I1353" i="29"/>
  <c r="I1354" i="29"/>
  <c r="I1355" i="29"/>
  <c r="I1356" i="29"/>
  <c r="I1357" i="29"/>
  <c r="I1358" i="29"/>
  <c r="I1359" i="29"/>
  <c r="I1360" i="29"/>
  <c r="I1361" i="29"/>
  <c r="I1362" i="29"/>
  <c r="I1363" i="29"/>
  <c r="I1364" i="29"/>
  <c r="I1365" i="29"/>
  <c r="I1368" i="29"/>
  <c r="I1369" i="29"/>
  <c r="I1370" i="29"/>
  <c r="I1371" i="29"/>
  <c r="I1372" i="29"/>
  <c r="I1373" i="29"/>
  <c r="I1374" i="29"/>
  <c r="I1375" i="29"/>
  <c r="I1376" i="29"/>
  <c r="I1377" i="29"/>
  <c r="I1378" i="29"/>
  <c r="I1379" i="29"/>
  <c r="I1380" i="29"/>
  <c r="I1381" i="29"/>
  <c r="I1382" i="29"/>
  <c r="I1383" i="29"/>
  <c r="I1384" i="29"/>
  <c r="I1385" i="29"/>
  <c r="I1386" i="29"/>
  <c r="I1387" i="29"/>
  <c r="I1388" i="29"/>
  <c r="I1389" i="29"/>
  <c r="I1390" i="29"/>
  <c r="I1391" i="29"/>
  <c r="I1392" i="29"/>
  <c r="I1393" i="29"/>
  <c r="I1394" i="29"/>
  <c r="I1395" i="29"/>
  <c r="I1396" i="29"/>
  <c r="I1397" i="29"/>
  <c r="I1398" i="29"/>
  <c r="I1399" i="29"/>
  <c r="I1400" i="29"/>
  <c r="I1401" i="29"/>
  <c r="I1402" i="29"/>
  <c r="I1403" i="29"/>
  <c r="I1404" i="29"/>
  <c r="I1405" i="29"/>
  <c r="I1406" i="29"/>
  <c r="I1407" i="29"/>
  <c r="I1408" i="29"/>
  <c r="I1409" i="29"/>
  <c r="I1410" i="29"/>
  <c r="I1411" i="29"/>
  <c r="I1412" i="29"/>
  <c r="I1414" i="29"/>
  <c r="I1415" i="29"/>
  <c r="I1416" i="29"/>
  <c r="I1417" i="29"/>
  <c r="I1418" i="29"/>
  <c r="I1419" i="29"/>
  <c r="I1420" i="29"/>
  <c r="I1421" i="29"/>
  <c r="I1422" i="29"/>
  <c r="I1423" i="29"/>
  <c r="I1424" i="29"/>
  <c r="I1425" i="29"/>
  <c r="I1426" i="29"/>
  <c r="I1427" i="29"/>
  <c r="I1428" i="29"/>
  <c r="I1429" i="29"/>
  <c r="I1430" i="29"/>
  <c r="I1431" i="29"/>
  <c r="I1432" i="29"/>
  <c r="I1433" i="29"/>
  <c r="I1434" i="29"/>
  <c r="I1435" i="29"/>
  <c r="I1436" i="29"/>
  <c r="I1437" i="29"/>
  <c r="I1438" i="29"/>
  <c r="I1439" i="29"/>
  <c r="I1440" i="29"/>
  <c r="I1441" i="29"/>
  <c r="I1442" i="29"/>
  <c r="I1443" i="29"/>
  <c r="I1444" i="29"/>
  <c r="I1445" i="29"/>
  <c r="I1446" i="29"/>
  <c r="I1447" i="29"/>
  <c r="I1448" i="29"/>
  <c r="I1449" i="29"/>
  <c r="I1450" i="29"/>
  <c r="I1451" i="29"/>
  <c r="I1452" i="29"/>
  <c r="I1453" i="29"/>
  <c r="I1454" i="29"/>
  <c r="I1455" i="29"/>
  <c r="I1456" i="29"/>
  <c r="I1457" i="29"/>
  <c r="I1458" i="29"/>
  <c r="I1459" i="29"/>
  <c r="I1460" i="29"/>
  <c r="I1462" i="29"/>
  <c r="I1463" i="29"/>
  <c r="I1464" i="29"/>
  <c r="I1465" i="29"/>
  <c r="I1466" i="29"/>
  <c r="I1467" i="29"/>
  <c r="I1468" i="29"/>
  <c r="I1469" i="29"/>
  <c r="I1470" i="29"/>
  <c r="I1471" i="29"/>
  <c r="I1472" i="29"/>
  <c r="I1473" i="29"/>
  <c r="I1474" i="29"/>
  <c r="I1475" i="29"/>
  <c r="I1476" i="29"/>
  <c r="I1477" i="29"/>
  <c r="I1478" i="29"/>
  <c r="I1479" i="29"/>
  <c r="I1480" i="29"/>
  <c r="I1481" i="29"/>
  <c r="I1482" i="29"/>
  <c r="I1483" i="29"/>
  <c r="I1484" i="29"/>
  <c r="I1485" i="29"/>
  <c r="I1486" i="29"/>
  <c r="I1487" i="29"/>
  <c r="I1488" i="29"/>
  <c r="I1489" i="29"/>
  <c r="I1490" i="29"/>
  <c r="I1491" i="29"/>
  <c r="I1492" i="29"/>
  <c r="I1493" i="29"/>
  <c r="I1494" i="29"/>
  <c r="I1495" i="29"/>
  <c r="I1496" i="29"/>
  <c r="I1497" i="29"/>
  <c r="I1498" i="29"/>
  <c r="I1499" i="29"/>
  <c r="I1500" i="29"/>
  <c r="I1501" i="29"/>
  <c r="I1502" i="29"/>
  <c r="I1503" i="29"/>
  <c r="I1504" i="29"/>
  <c r="I1505" i="29"/>
  <c r="I1506" i="29"/>
  <c r="I1507" i="29"/>
  <c r="I1508" i="29"/>
  <c r="I1510" i="29"/>
  <c r="I1511" i="29"/>
  <c r="I1512" i="29"/>
  <c r="I1513" i="29"/>
  <c r="I1514" i="29"/>
  <c r="I1515" i="29"/>
  <c r="I1516" i="29"/>
  <c r="I1517" i="29"/>
  <c r="I1518" i="29"/>
  <c r="I1519" i="29"/>
  <c r="I1520" i="29"/>
  <c r="I1521" i="29"/>
  <c r="I1522" i="29"/>
  <c r="I1523" i="29"/>
  <c r="I1524" i="29"/>
  <c r="I1525" i="29"/>
  <c r="I1526" i="29"/>
  <c r="I1527" i="29"/>
  <c r="I1528" i="29"/>
  <c r="I1529" i="29"/>
  <c r="I1530" i="29"/>
  <c r="I1531" i="29"/>
  <c r="I1532" i="29"/>
  <c r="I1533" i="29"/>
  <c r="I1534" i="29"/>
  <c r="I1535" i="29"/>
  <c r="I1536" i="29"/>
  <c r="I1537" i="29"/>
  <c r="I1538" i="29"/>
  <c r="I1539" i="29"/>
  <c r="I1540" i="29"/>
  <c r="I1541" i="29"/>
  <c r="I1542" i="29"/>
  <c r="I1543" i="29"/>
  <c r="I1544" i="29"/>
  <c r="I1545" i="29"/>
  <c r="I1546" i="29"/>
  <c r="I1547" i="29"/>
  <c r="I1548" i="29"/>
  <c r="I1549" i="29"/>
  <c r="I1550" i="29"/>
  <c r="I1551" i="29"/>
  <c r="I1552" i="29"/>
  <c r="I1553" i="29"/>
  <c r="I1554" i="29"/>
  <c r="I1555" i="29"/>
  <c r="I1556" i="29"/>
  <c r="I1558" i="29"/>
  <c r="I1559" i="29"/>
  <c r="I1560" i="29"/>
  <c r="I1561" i="29"/>
  <c r="I1562" i="29"/>
  <c r="I1563" i="29"/>
  <c r="I1564" i="29"/>
  <c r="I1565" i="29"/>
  <c r="I1566" i="29"/>
  <c r="I1567" i="29"/>
  <c r="I1568" i="29"/>
  <c r="I1569" i="29"/>
  <c r="I1570" i="29"/>
  <c r="I1571" i="29"/>
  <c r="I1572" i="29"/>
  <c r="I1573" i="29"/>
  <c r="I1574" i="29"/>
  <c r="I1575" i="29"/>
  <c r="I1576" i="29"/>
  <c r="I1577" i="29"/>
  <c r="I1578" i="29"/>
  <c r="I1579" i="29"/>
  <c r="I1580" i="29"/>
  <c r="I1581" i="29"/>
  <c r="I1582" i="29"/>
  <c r="I1583" i="29"/>
  <c r="I1584" i="29"/>
  <c r="I1585" i="29"/>
  <c r="I1586" i="29"/>
  <c r="I1587" i="29"/>
  <c r="I1588" i="29"/>
  <c r="I1589" i="29"/>
  <c r="I1590" i="29"/>
  <c r="I1591" i="29"/>
  <c r="I1592" i="29"/>
  <c r="I1593" i="29"/>
  <c r="I1594" i="29"/>
  <c r="I1595" i="29"/>
  <c r="I1596" i="29"/>
  <c r="I1597" i="29"/>
  <c r="I1598" i="29"/>
  <c r="I1599" i="29"/>
  <c r="I1600" i="29"/>
  <c r="I1601" i="29"/>
  <c r="I1602" i="29"/>
  <c r="I1603" i="29"/>
  <c r="I1604" i="29"/>
  <c r="I1606" i="29"/>
  <c r="I1607" i="29"/>
  <c r="I1608" i="29"/>
  <c r="I1609" i="29"/>
  <c r="I1610" i="29"/>
  <c r="I1611" i="29"/>
  <c r="I1612" i="29"/>
  <c r="I1613" i="29"/>
  <c r="I1614" i="29"/>
  <c r="I1615" i="29"/>
  <c r="I1616" i="29"/>
  <c r="I1617" i="29"/>
  <c r="I1618" i="29"/>
  <c r="I1619" i="29"/>
  <c r="I1620" i="29"/>
  <c r="I1621" i="29"/>
  <c r="I1622" i="29"/>
  <c r="I1623" i="29"/>
  <c r="I1624" i="29"/>
  <c r="I1625" i="29"/>
  <c r="I1626" i="29"/>
  <c r="I1627" i="29"/>
  <c r="I1628" i="29"/>
  <c r="I1629" i="29"/>
  <c r="I1630" i="29"/>
  <c r="I1631" i="29"/>
  <c r="I1632" i="29"/>
  <c r="I1633" i="29"/>
  <c r="I1634" i="29"/>
  <c r="I1635" i="29"/>
  <c r="I1636" i="29"/>
  <c r="I1637" i="29"/>
  <c r="I1638" i="29"/>
  <c r="I1639" i="29"/>
  <c r="I1640" i="29"/>
  <c r="I1641" i="29"/>
  <c r="I1642" i="29"/>
  <c r="I1643" i="29"/>
  <c r="I1644" i="29"/>
  <c r="I1645" i="29"/>
  <c r="I1646" i="29"/>
  <c r="I1647" i="29"/>
  <c r="I1648" i="29"/>
  <c r="I1649" i="29"/>
  <c r="I1650" i="29"/>
  <c r="I1651" i="29"/>
  <c r="I1652" i="29"/>
  <c r="I1654" i="29"/>
  <c r="I1655" i="29"/>
  <c r="I1656" i="29"/>
  <c r="I1657" i="29"/>
  <c r="I1658" i="29"/>
  <c r="I1659" i="29"/>
  <c r="I1660" i="29"/>
  <c r="I1661" i="29"/>
  <c r="I1662" i="29"/>
  <c r="I1663" i="29"/>
  <c r="I1664" i="29"/>
  <c r="I1665" i="29"/>
  <c r="I1666" i="29"/>
  <c r="I1667" i="29"/>
  <c r="I1668" i="29"/>
  <c r="I1669" i="29"/>
  <c r="I1670" i="29"/>
  <c r="I1671" i="29"/>
  <c r="I1672" i="29"/>
  <c r="I1673" i="29"/>
  <c r="I1674" i="29"/>
  <c r="I1675" i="29"/>
  <c r="I1676" i="29"/>
  <c r="I1677" i="29"/>
  <c r="I1678" i="29"/>
  <c r="I1679" i="29"/>
  <c r="I1680" i="29"/>
  <c r="I1681" i="29"/>
  <c r="I1682" i="29"/>
  <c r="I1683" i="29"/>
  <c r="I1684" i="29"/>
  <c r="I1685" i="29"/>
  <c r="I1686" i="29"/>
  <c r="I1687" i="29"/>
  <c r="I1688" i="29"/>
  <c r="I1689" i="29"/>
  <c r="I1690" i="29"/>
  <c r="I1691" i="29"/>
  <c r="I1692" i="29"/>
  <c r="I1693" i="29"/>
  <c r="I1694" i="29"/>
  <c r="I1695" i="29"/>
  <c r="I1696" i="29"/>
  <c r="I1697" i="29"/>
  <c r="I1698" i="29"/>
  <c r="I1699" i="29"/>
  <c r="I1700" i="29"/>
  <c r="I1702" i="29"/>
  <c r="I1704" i="29"/>
  <c r="I1705" i="29"/>
  <c r="I1706" i="29"/>
  <c r="I1707" i="29"/>
  <c r="I1708" i="29"/>
  <c r="I1709" i="29"/>
  <c r="I1710" i="29"/>
  <c r="I1711" i="29"/>
  <c r="I1712" i="29"/>
  <c r="I1713" i="29"/>
  <c r="I1714" i="29"/>
  <c r="I1715" i="29"/>
  <c r="I1716" i="29"/>
  <c r="I1717" i="29"/>
  <c r="I1718" i="29"/>
  <c r="I1719" i="29"/>
  <c r="I1720" i="29"/>
  <c r="I1721" i="29"/>
  <c r="I1722" i="29"/>
  <c r="I1723" i="29"/>
  <c r="I1724" i="29"/>
  <c r="I1725" i="29"/>
  <c r="I1726" i="29"/>
  <c r="I1727" i="29"/>
  <c r="I1728" i="29"/>
  <c r="I1729" i="29"/>
  <c r="I1730" i="29"/>
  <c r="I1731" i="29"/>
  <c r="I1732" i="29"/>
  <c r="I1733" i="29"/>
  <c r="I1734" i="29"/>
  <c r="I1735" i="29"/>
  <c r="I1736" i="29"/>
  <c r="I1737" i="29"/>
  <c r="I1738" i="29"/>
  <c r="I1739" i="29"/>
  <c r="I1740" i="29"/>
  <c r="I1741" i="29"/>
  <c r="I1742" i="29"/>
  <c r="I1743" i="29"/>
  <c r="I1744" i="29"/>
  <c r="I1745" i="29"/>
  <c r="I1746" i="29"/>
  <c r="I1747" i="29"/>
  <c r="I1748" i="29"/>
  <c r="I1750" i="29"/>
  <c r="I1751" i="29"/>
  <c r="I1752" i="29"/>
  <c r="I1753" i="29"/>
  <c r="I1754" i="29"/>
  <c r="I1755" i="29"/>
  <c r="I1756" i="29"/>
  <c r="I1757" i="29"/>
  <c r="I1758" i="29"/>
  <c r="I1759" i="29"/>
  <c r="I1760" i="29"/>
  <c r="I1761" i="29"/>
  <c r="I1762" i="29"/>
  <c r="I1763" i="29"/>
  <c r="I1764" i="29"/>
  <c r="I1765" i="29"/>
  <c r="I1766" i="29"/>
  <c r="I1767" i="29"/>
  <c r="I1768" i="29"/>
  <c r="I1769" i="29"/>
  <c r="I1770" i="29"/>
  <c r="I1771" i="29"/>
  <c r="I1772" i="29"/>
  <c r="I1773" i="29"/>
  <c r="I1774" i="29"/>
  <c r="I1775" i="29"/>
  <c r="I1776" i="29"/>
  <c r="I1777" i="29"/>
  <c r="I1778" i="29"/>
  <c r="I1779" i="29"/>
  <c r="I1780" i="29"/>
  <c r="I1781" i="29"/>
  <c r="I1782" i="29"/>
  <c r="I1783" i="29"/>
  <c r="I1784" i="29"/>
  <c r="I1785" i="29"/>
  <c r="I1786" i="29"/>
  <c r="I1787" i="29"/>
  <c r="I1788" i="29"/>
  <c r="I1789" i="29"/>
  <c r="I1790" i="29"/>
  <c r="I1791" i="29"/>
  <c r="I1792" i="29"/>
  <c r="I1793" i="29"/>
  <c r="I1794" i="29"/>
  <c r="I1795" i="29"/>
  <c r="I1796" i="29"/>
  <c r="I1799" i="29"/>
  <c r="I1800" i="29"/>
  <c r="I1802" i="29"/>
  <c r="I1805" i="29"/>
  <c r="I1807" i="29"/>
  <c r="I1808" i="29"/>
  <c r="I1809" i="29"/>
  <c r="I1810" i="29"/>
  <c r="I1812" i="29"/>
  <c r="I1813" i="29"/>
  <c r="I1814" i="29"/>
  <c r="I1818" i="29"/>
  <c r="I1819" i="29"/>
  <c r="I1820" i="29"/>
  <c r="I1822" i="29"/>
  <c r="I1823" i="29"/>
  <c r="I1825" i="29"/>
  <c r="I1826" i="29"/>
  <c r="I1828" i="29"/>
  <c r="I1829" i="29"/>
  <c r="I1831" i="29"/>
  <c r="I1833" i="29"/>
  <c r="I1834" i="29"/>
  <c r="I1836" i="29"/>
  <c r="I1837" i="29"/>
  <c r="I1839" i="29"/>
  <c r="I1840" i="29"/>
  <c r="I1841" i="29"/>
  <c r="I1843" i="29"/>
  <c r="I1844" i="29"/>
  <c r="I1845" i="29"/>
  <c r="I1849" i="29"/>
  <c r="I1850" i="29"/>
  <c r="I1851" i="29"/>
  <c r="I1852" i="29"/>
  <c r="I1854" i="29"/>
  <c r="I1855" i="29"/>
  <c r="I1856" i="29"/>
  <c r="I1857" i="29"/>
  <c r="I1858" i="29"/>
  <c r="I1859" i="29"/>
  <c r="I1860" i="29"/>
  <c r="I1862" i="29"/>
  <c r="I1863" i="29"/>
  <c r="I1865" i="29"/>
  <c r="I1866" i="29"/>
  <c r="I1867" i="29"/>
  <c r="I1869" i="29"/>
  <c r="I1871" i="29"/>
  <c r="I1873" i="29"/>
  <c r="I1875" i="29"/>
  <c r="I1876" i="29"/>
  <c r="I1877" i="29"/>
  <c r="I1878" i="29"/>
  <c r="I1880" i="29"/>
  <c r="I1882" i="29"/>
  <c r="I1884" i="29"/>
  <c r="I1886" i="29"/>
  <c r="I1887" i="29"/>
  <c r="I1888" i="29"/>
  <c r="I1889" i="29"/>
  <c r="I1890" i="29"/>
  <c r="I1893" i="29"/>
  <c r="I1894" i="29"/>
  <c r="I1895" i="29"/>
  <c r="I1897" i="29"/>
  <c r="I1899" i="29"/>
  <c r="I1900" i="29"/>
  <c r="I1904" i="29"/>
  <c r="I1907" i="29"/>
  <c r="I1908" i="29"/>
  <c r="I1910" i="29"/>
  <c r="I1911" i="29"/>
  <c r="I1913" i="29"/>
  <c r="I1914" i="29"/>
  <c r="I1916" i="29"/>
  <c r="I1917" i="29"/>
  <c r="I1918" i="29"/>
  <c r="I1920" i="29"/>
  <c r="I1922" i="29"/>
  <c r="I1923" i="29"/>
  <c r="I1925" i="29"/>
  <c r="I1926" i="29"/>
  <c r="I1928" i="29"/>
  <c r="I1930" i="29"/>
  <c r="I1931" i="29"/>
  <c r="I1933" i="29"/>
  <c r="I1934" i="29"/>
  <c r="I1936" i="29"/>
  <c r="I1937" i="29"/>
  <c r="I1939" i="29"/>
  <c r="I1940" i="29"/>
  <c r="I1942" i="29"/>
  <c r="I1943" i="29"/>
  <c r="I1944" i="29"/>
  <c r="I1945" i="29"/>
  <c r="I1947" i="29"/>
  <c r="I1948" i="29"/>
  <c r="I1950" i="29"/>
  <c r="I1952" i="29"/>
  <c r="I1954" i="29"/>
  <c r="I1956" i="29"/>
  <c r="I1957" i="29"/>
  <c r="I1959" i="29"/>
  <c r="I1960" i="29"/>
  <c r="I1962" i="29"/>
  <c r="I1963" i="29"/>
  <c r="I1965" i="29"/>
  <c r="I1966" i="29"/>
  <c r="I1968" i="29"/>
  <c r="I1970" i="29"/>
  <c r="I1972" i="29"/>
  <c r="I1974" i="29"/>
  <c r="I1976" i="29"/>
  <c r="I1978" i="29"/>
  <c r="I1980" i="29"/>
  <c r="I1982" i="29"/>
  <c r="I1984" i="29"/>
  <c r="I1986" i="29"/>
  <c r="I1988" i="29"/>
  <c r="I1990" i="29"/>
  <c r="I1992" i="29"/>
  <c r="I1993" i="29"/>
  <c r="I1994" i="29"/>
  <c r="I1995" i="29"/>
  <c r="I1996" i="29"/>
  <c r="G13" i="27"/>
  <c r="G17" i="27"/>
  <c r="G21" i="27"/>
  <c r="G23" i="27"/>
  <c r="G33" i="27"/>
  <c r="G37" i="27"/>
  <c r="G45" i="27"/>
  <c r="G53" i="27"/>
  <c r="G57" i="27"/>
  <c r="G61" i="27"/>
  <c r="G65" i="27"/>
  <c r="G69" i="27"/>
  <c r="G73" i="27"/>
  <c r="G89" i="27"/>
  <c r="G93" i="27"/>
  <c r="G97" i="27"/>
  <c r="G101" i="27"/>
  <c r="G105" i="27"/>
  <c r="G113" i="27"/>
  <c r="G117" i="27"/>
  <c r="G121" i="27"/>
  <c r="G125" i="27"/>
  <c r="G129" i="27"/>
  <c r="F239" i="22"/>
  <c r="F242" i="22"/>
  <c r="Q62" i="12"/>
  <c r="Q32" i="12"/>
  <c r="D119" i="27"/>
  <c r="AB87" i="12"/>
  <c r="AB61" i="12"/>
  <c r="AB46" i="12"/>
  <c r="AB43" i="12"/>
  <c r="AB27" i="12"/>
  <c r="Z21" i="12"/>
  <c r="Z45" i="12"/>
  <c r="Z95" i="12"/>
  <c r="W117" i="12"/>
  <c r="BR117" i="12"/>
  <c r="W116" i="12"/>
  <c r="W115" i="12"/>
  <c r="W98" i="12"/>
  <c r="W97" i="12"/>
  <c r="W96" i="12"/>
  <c r="W90" i="12"/>
  <c r="W89" i="12"/>
  <c r="W88" i="12"/>
  <c r="W87" i="12"/>
  <c r="W86" i="12"/>
  <c r="W85" i="12"/>
  <c r="W84" i="12"/>
  <c r="W83" i="12"/>
  <c r="BR83" i="12"/>
  <c r="W82" i="12"/>
  <c r="W81" i="12"/>
  <c r="W80" i="12"/>
  <c r="W79" i="12"/>
  <c r="BR79" i="12"/>
  <c r="W78" i="12"/>
  <c r="W77" i="12"/>
  <c r="W76" i="12"/>
  <c r="W75" i="12"/>
  <c r="BR75" i="12"/>
  <c r="W74" i="12"/>
  <c r="W73" i="12"/>
  <c r="W72" i="12"/>
  <c r="W71" i="12"/>
  <c r="BR71" i="12"/>
  <c r="W70" i="12"/>
  <c r="W69" i="12"/>
  <c r="W68" i="12"/>
  <c r="W67" i="12"/>
  <c r="BR67" i="12"/>
  <c r="W66" i="12"/>
  <c r="W65" i="12"/>
  <c r="W64" i="12"/>
  <c r="W63" i="12"/>
  <c r="W62" i="12"/>
  <c r="W61" i="12"/>
  <c r="W60" i="12"/>
  <c r="W59" i="12"/>
  <c r="W58" i="12"/>
  <c r="W57" i="12"/>
  <c r="W56" i="12"/>
  <c r="BR56" i="12"/>
  <c r="W55" i="12"/>
  <c r="BR55" i="12"/>
  <c r="W54" i="12"/>
  <c r="W53" i="12"/>
  <c r="W52" i="12"/>
  <c r="W51" i="12"/>
  <c r="BR51" i="12"/>
  <c r="W50" i="12"/>
  <c r="W49" i="12"/>
  <c r="W48" i="12"/>
  <c r="W47" i="12"/>
  <c r="BR47" i="12"/>
  <c r="W46" i="12"/>
  <c r="W44" i="12"/>
  <c r="W43" i="12"/>
  <c r="W42" i="12"/>
  <c r="W41" i="12"/>
  <c r="W40" i="12"/>
  <c r="W39" i="12"/>
  <c r="W38" i="12"/>
  <c r="W37" i="12"/>
  <c r="BR37" i="12"/>
  <c r="W36" i="12"/>
  <c r="W35" i="12"/>
  <c r="W34" i="12"/>
  <c r="W33" i="12"/>
  <c r="BR33" i="12"/>
  <c r="W32" i="12"/>
  <c r="W31" i="12"/>
  <c r="W30" i="12"/>
  <c r="W29" i="12"/>
  <c r="BR29" i="12"/>
  <c r="W28" i="12"/>
  <c r="W27" i="12"/>
  <c r="W26" i="12"/>
  <c r="W25" i="12"/>
  <c r="W45" i="12"/>
  <c r="BR45" i="12"/>
  <c r="W24" i="12"/>
  <c r="W23" i="12"/>
  <c r="W22" i="12"/>
  <c r="W17" i="12"/>
  <c r="W18" i="12"/>
  <c r="W20" i="12"/>
  <c r="W16" i="12"/>
  <c r="F19" i="12"/>
  <c r="F17" i="12"/>
  <c r="F21" i="12"/>
  <c r="AP62" i="12"/>
  <c r="AP16" i="12"/>
  <c r="AP59" i="12"/>
  <c r="AP95" i="12"/>
  <c r="AP117" i="12"/>
  <c r="BR63" i="12"/>
  <c r="BR25" i="12"/>
  <c r="BR16" i="12"/>
  <c r="V114" i="12"/>
  <c r="V118" i="12"/>
  <c r="U95" i="12"/>
  <c r="U114" i="12"/>
  <c r="U118" i="12"/>
  <c r="U125" i="12"/>
  <c r="V95" i="12"/>
  <c r="X95" i="12"/>
  <c r="X114" i="12"/>
  <c r="X118" i="12"/>
  <c r="Y95" i="12"/>
  <c r="U45" i="12"/>
  <c r="V45" i="12"/>
  <c r="X45" i="12"/>
  <c r="Y45" i="12"/>
  <c r="U21" i="12"/>
  <c r="V21" i="12"/>
  <c r="X21" i="12"/>
  <c r="Y21" i="12"/>
  <c r="E48" i="1"/>
  <c r="R48" i="1"/>
  <c r="F76" i="1"/>
  <c r="G76" i="1"/>
  <c r="H76" i="1"/>
  <c r="I76" i="1"/>
  <c r="K76" i="1"/>
  <c r="L76" i="1"/>
  <c r="M76" i="1"/>
  <c r="N76" i="1"/>
  <c r="O76" i="1"/>
  <c r="P76" i="1"/>
  <c r="G22" i="22"/>
  <c r="G28" i="22"/>
  <c r="F28" i="22"/>
  <c r="P30" i="1"/>
  <c r="O30" i="1"/>
  <c r="N30" i="1"/>
  <c r="F30" i="1"/>
  <c r="L21" i="22"/>
  <c r="N23" i="22"/>
  <c r="M23" i="22"/>
  <c r="G23" i="22"/>
  <c r="F23" i="22"/>
  <c r="F22" i="22"/>
  <c r="J26" i="15"/>
  <c r="J24" i="15"/>
  <c r="I121" i="15"/>
  <c r="J121" i="15"/>
  <c r="I47" i="15"/>
  <c r="K235" i="1"/>
  <c r="K236" i="1"/>
  <c r="J236" i="1"/>
  <c r="F252" i="1"/>
  <c r="P217" i="1"/>
  <c r="P220" i="1"/>
  <c r="O263" i="1"/>
  <c r="N263" i="1"/>
  <c r="O228" i="1"/>
  <c r="N228" i="1"/>
  <c r="O217" i="1"/>
  <c r="N217" i="1"/>
  <c r="F18" i="1"/>
  <c r="E2373" i="24"/>
  <c r="E3723" i="24"/>
  <c r="E401" i="24"/>
  <c r="E3949" i="24"/>
  <c r="D3643" i="24"/>
  <c r="E3643" i="24"/>
  <c r="BI44" i="12"/>
  <c r="AR44" i="12"/>
  <c r="AR83" i="12"/>
  <c r="BI83" i="12"/>
  <c r="BI24" i="12"/>
  <c r="AR18" i="12"/>
  <c r="AR87" i="12"/>
  <c r="BI87" i="12"/>
  <c r="BI82" i="12"/>
  <c r="AR82" i="12"/>
  <c r="D8" i="31"/>
  <c r="E8" i="31"/>
  <c r="C8" i="31"/>
  <c r="C66" i="31"/>
  <c r="C65" i="31"/>
  <c r="C64" i="31"/>
  <c r="C63" i="31"/>
  <c r="AX115" i="12"/>
  <c r="AN115" i="12"/>
  <c r="P25" i="1"/>
  <c r="O25" i="1"/>
  <c r="P26" i="1"/>
  <c r="P14" i="1"/>
  <c r="O26" i="1"/>
  <c r="N26" i="1"/>
  <c r="F26" i="1"/>
  <c r="F25" i="1"/>
  <c r="N25" i="1"/>
  <c r="AR79" i="12"/>
  <c r="AR74" i="12"/>
  <c r="AR58" i="12"/>
  <c r="AR41" i="12"/>
  <c r="AR30" i="12"/>
  <c r="AR17" i="12"/>
  <c r="AR16" i="12"/>
  <c r="L43" i="12"/>
  <c r="L40" i="12"/>
  <c r="L38" i="12"/>
  <c r="L37" i="12"/>
  <c r="L36" i="12"/>
  <c r="L34" i="12"/>
  <c r="L33" i="12"/>
  <c r="L32" i="12"/>
  <c r="L28" i="12"/>
  <c r="L27" i="12"/>
  <c r="L25" i="12"/>
  <c r="L23" i="12"/>
  <c r="L20" i="12"/>
  <c r="L19" i="12"/>
  <c r="L18" i="12"/>
  <c r="L17" i="12"/>
  <c r="L16" i="12"/>
  <c r="C1388" i="24"/>
  <c r="E1388" i="24"/>
  <c r="C1536" i="24"/>
  <c r="E1536" i="24"/>
  <c r="BP34" i="12"/>
  <c r="BQ36" i="12"/>
  <c r="AB89" i="12"/>
  <c r="AB85" i="12"/>
  <c r="AB83" i="12"/>
  <c r="AB82" i="12"/>
  <c r="AB81" i="12"/>
  <c r="AB80" i="12"/>
  <c r="AB78" i="12"/>
  <c r="AB74" i="12"/>
  <c r="AB73" i="12"/>
  <c r="AB70" i="12"/>
  <c r="AB60" i="12"/>
  <c r="AB58" i="12"/>
  <c r="AB57" i="12"/>
  <c r="AB53" i="12"/>
  <c r="AB41" i="12"/>
  <c r="AB37" i="12"/>
  <c r="AB19" i="12"/>
  <c r="AB18" i="12"/>
  <c r="AB17" i="12"/>
  <c r="AB16" i="12"/>
  <c r="AB21" i="12"/>
  <c r="O221" i="1"/>
  <c r="N221" i="1"/>
  <c r="F16" i="20"/>
  <c r="E16" i="20"/>
  <c r="D93" i="31"/>
  <c r="C93" i="31"/>
  <c r="E100" i="31"/>
  <c r="E93" i="31"/>
  <c r="C100" i="31"/>
  <c r="E3945" i="24"/>
  <c r="C3945" i="24"/>
  <c r="C2770" i="24"/>
  <c r="E2770" i="24"/>
  <c r="E505" i="24"/>
  <c r="C505" i="24"/>
  <c r="E692" i="24"/>
  <c r="H692" i="24"/>
  <c r="C692" i="24"/>
  <c r="D41" i="24"/>
  <c r="C41" i="24"/>
  <c r="AS87" i="12"/>
  <c r="BJ87" i="12"/>
  <c r="BJ24" i="12"/>
  <c r="F281" i="1"/>
  <c r="E281" i="1"/>
  <c r="D127" i="27"/>
  <c r="AE117" i="12"/>
  <c r="F51" i="1"/>
  <c r="E51" i="1"/>
  <c r="R51" i="1"/>
  <c r="D132" i="27"/>
  <c r="F50" i="1"/>
  <c r="I50" i="1"/>
  <c r="D126" i="27"/>
  <c r="O220" i="1"/>
  <c r="N220" i="1"/>
  <c r="P200" i="1"/>
  <c r="O200" i="1"/>
  <c r="N200" i="1"/>
  <c r="P199" i="1"/>
  <c r="O199" i="1"/>
  <c r="N199" i="1"/>
  <c r="V199" i="1"/>
  <c r="P198" i="1"/>
  <c r="O198" i="1"/>
  <c r="N198" i="1"/>
  <c r="J198" i="1"/>
  <c r="F120" i="1"/>
  <c r="F87" i="1"/>
  <c r="H90" i="1"/>
  <c r="F90" i="1"/>
  <c r="F101" i="1"/>
  <c r="P196" i="1"/>
  <c r="N196" i="1"/>
  <c r="O196" i="1"/>
  <c r="V196" i="1"/>
  <c r="P193" i="1"/>
  <c r="O193" i="1"/>
  <c r="N193" i="1"/>
  <c r="P191" i="1"/>
  <c r="O191" i="1"/>
  <c r="N191" i="1"/>
  <c r="P60" i="1"/>
  <c r="O60" i="1"/>
  <c r="V60" i="1"/>
  <c r="N60" i="1"/>
  <c r="P59" i="1"/>
  <c r="O59" i="1"/>
  <c r="N59" i="1"/>
  <c r="I53" i="1"/>
  <c r="K53" i="1"/>
  <c r="L53" i="1"/>
  <c r="M53" i="1"/>
  <c r="P53" i="1"/>
  <c r="J77" i="1"/>
  <c r="J76" i="1"/>
  <c r="E77" i="1"/>
  <c r="E76" i="1"/>
  <c r="R76" i="1"/>
  <c r="P125" i="1"/>
  <c r="O125" i="1"/>
  <c r="N125" i="1"/>
  <c r="G117" i="22"/>
  <c r="F72" i="22"/>
  <c r="G56" i="22"/>
  <c r="F64" i="22"/>
  <c r="H174" i="22"/>
  <c r="I174" i="22"/>
  <c r="G25" i="15"/>
  <c r="H25" i="15"/>
  <c r="I20" i="15"/>
  <c r="K20" i="15"/>
  <c r="I17" i="15"/>
  <c r="AZ117" i="12"/>
  <c r="AZ116" i="12"/>
  <c r="AZ115" i="12"/>
  <c r="AZ98" i="12"/>
  <c r="AZ97" i="12"/>
  <c r="AZ96" i="12"/>
  <c r="AZ90" i="12"/>
  <c r="AZ89" i="12"/>
  <c r="AZ88" i="12"/>
  <c r="AZ87" i="12"/>
  <c r="AZ86" i="12"/>
  <c r="AZ85" i="12"/>
  <c r="AZ84" i="12"/>
  <c r="AZ83" i="12"/>
  <c r="AZ82" i="12"/>
  <c r="AZ81" i="12"/>
  <c r="AZ80" i="12"/>
  <c r="AZ79" i="12"/>
  <c r="AZ78" i="12"/>
  <c r="AZ77" i="12"/>
  <c r="AZ76" i="12"/>
  <c r="AZ75" i="12"/>
  <c r="AZ74" i="12"/>
  <c r="AZ73" i="12"/>
  <c r="AZ72" i="12"/>
  <c r="AZ71" i="12"/>
  <c r="AZ70" i="12"/>
  <c r="AZ69" i="12"/>
  <c r="AZ68" i="12"/>
  <c r="AZ67" i="12"/>
  <c r="AZ66" i="12"/>
  <c r="AZ65" i="12"/>
  <c r="AZ64" i="12"/>
  <c r="AZ63" i="12"/>
  <c r="AZ62" i="12"/>
  <c r="AZ61" i="12"/>
  <c r="AZ60" i="12"/>
  <c r="AZ59" i="12"/>
  <c r="AZ58" i="12"/>
  <c r="AZ57" i="12"/>
  <c r="AZ56" i="12"/>
  <c r="AZ55" i="12"/>
  <c r="AZ54" i="12"/>
  <c r="AZ53" i="12"/>
  <c r="AZ52" i="12"/>
  <c r="AZ51" i="12"/>
  <c r="AZ50" i="12"/>
  <c r="AZ49" i="12"/>
  <c r="AZ48" i="12"/>
  <c r="AZ47" i="12"/>
  <c r="AZ46" i="12"/>
  <c r="AZ44" i="12"/>
  <c r="AZ43" i="12"/>
  <c r="AZ42" i="12"/>
  <c r="AZ41" i="12"/>
  <c r="AZ40" i="12"/>
  <c r="AZ39" i="12"/>
  <c r="AZ38" i="12"/>
  <c r="AZ37" i="12"/>
  <c r="AZ36" i="12"/>
  <c r="AZ35" i="12"/>
  <c r="AZ34" i="12"/>
  <c r="AZ33" i="12"/>
  <c r="AZ32" i="12"/>
  <c r="AZ31" i="12"/>
  <c r="AZ30" i="12"/>
  <c r="AZ29" i="12"/>
  <c r="AZ28" i="12"/>
  <c r="AZ27" i="12"/>
  <c r="AZ26" i="12"/>
  <c r="AZ25" i="12"/>
  <c r="AZ24" i="12"/>
  <c r="AZ23" i="12"/>
  <c r="AZ22" i="12"/>
  <c r="AZ17" i="12"/>
  <c r="AZ18" i="12"/>
  <c r="AZ19" i="12"/>
  <c r="AZ20" i="12"/>
  <c r="AZ21" i="12"/>
  <c r="AZ16" i="12"/>
  <c r="BA95" i="12"/>
  <c r="BA114" i="12"/>
  <c r="BA118" i="12"/>
  <c r="BA21" i="12"/>
  <c r="P45" i="1"/>
  <c r="O45" i="1"/>
  <c r="N45" i="1"/>
  <c r="F285" i="1"/>
  <c r="D131" i="27"/>
  <c r="J16" i="12"/>
  <c r="J17" i="12"/>
  <c r="J19" i="12"/>
  <c r="J43" i="12"/>
  <c r="J38" i="12"/>
  <c r="J28" i="12"/>
  <c r="J26" i="12"/>
  <c r="I113" i="1"/>
  <c r="E113" i="1"/>
  <c r="P107" i="1"/>
  <c r="O107" i="1"/>
  <c r="N107" i="1"/>
  <c r="N106" i="1"/>
  <c r="D128" i="27"/>
  <c r="E142" i="27"/>
  <c r="I115" i="1"/>
  <c r="D129" i="27"/>
  <c r="K16" i="12"/>
  <c r="T31" i="12"/>
  <c r="T20" i="12"/>
  <c r="T17" i="12"/>
  <c r="T16" i="12"/>
  <c r="C1967" i="29"/>
  <c r="I49" i="15"/>
  <c r="I48" i="15"/>
  <c r="H1965" i="29"/>
  <c r="H1966" i="29"/>
  <c r="H1968" i="29"/>
  <c r="H1970" i="29"/>
  <c r="H1972" i="29"/>
  <c r="H1974" i="29"/>
  <c r="H1976" i="29"/>
  <c r="D1967" i="29"/>
  <c r="E1967" i="29"/>
  <c r="I116" i="15"/>
  <c r="I85" i="15"/>
  <c r="H98" i="32"/>
  <c r="H99" i="32"/>
  <c r="H101" i="32"/>
  <c r="H103" i="32"/>
  <c r="H105" i="32"/>
  <c r="H106" i="32"/>
  <c r="H107" i="32"/>
  <c r="H108" i="32"/>
  <c r="F109" i="32"/>
  <c r="G109" i="32"/>
  <c r="E104" i="32"/>
  <c r="D104" i="32"/>
  <c r="H104" i="32"/>
  <c r="C104" i="32"/>
  <c r="I104" i="32"/>
  <c r="E141" i="27"/>
  <c r="P221" i="1"/>
  <c r="D138" i="27"/>
  <c r="L29" i="12"/>
  <c r="E217" i="1"/>
  <c r="J217" i="1"/>
  <c r="R217" i="1"/>
  <c r="T217" i="1"/>
  <c r="V217" i="1"/>
  <c r="E23" i="12"/>
  <c r="D23" i="12"/>
  <c r="G223" i="22"/>
  <c r="I117" i="15"/>
  <c r="I53" i="15"/>
  <c r="I52" i="15"/>
  <c r="I87" i="15"/>
  <c r="I51" i="15"/>
  <c r="I50" i="15"/>
  <c r="I54" i="15"/>
  <c r="I70" i="15"/>
  <c r="I46" i="15"/>
  <c r="I45" i="15"/>
  <c r="I44" i="15"/>
  <c r="AP57" i="12"/>
  <c r="F78" i="1"/>
  <c r="F272" i="1"/>
  <c r="E272" i="1"/>
  <c r="R272" i="1"/>
  <c r="L42" i="12"/>
  <c r="L41" i="12"/>
  <c r="O234" i="1"/>
  <c r="N234" i="1"/>
  <c r="V221" i="1"/>
  <c r="D25" i="37"/>
  <c r="E25" i="37"/>
  <c r="C25" i="37"/>
  <c r="E102" i="32"/>
  <c r="H102" i="32"/>
  <c r="D102" i="32"/>
  <c r="C102" i="32"/>
  <c r="I102" i="32"/>
  <c r="D100" i="32"/>
  <c r="E100" i="32"/>
  <c r="C100" i="32"/>
  <c r="H100" i="32"/>
  <c r="H97" i="32"/>
  <c r="E91" i="32"/>
  <c r="C91" i="32"/>
  <c r="E78" i="32"/>
  <c r="C78" i="32"/>
  <c r="C1861" i="29"/>
  <c r="E139" i="27"/>
  <c r="C138" i="27"/>
  <c r="G138" i="27"/>
  <c r="G41" i="12"/>
  <c r="G35" i="12"/>
  <c r="G29" i="12"/>
  <c r="G17" i="12"/>
  <c r="I113" i="15"/>
  <c r="E4164" i="24"/>
  <c r="C4164" i="24"/>
  <c r="BM117" i="12"/>
  <c r="N235" i="1"/>
  <c r="J235" i="1"/>
  <c r="E96" i="32"/>
  <c r="H96" i="32"/>
  <c r="D96" i="32"/>
  <c r="C96" i="32"/>
  <c r="I96" i="32"/>
  <c r="D1815" i="29"/>
  <c r="E1815" i="29"/>
  <c r="C1815" i="29"/>
  <c r="C141" i="27"/>
  <c r="S45" i="12"/>
  <c r="S21" i="12"/>
  <c r="Q88" i="12"/>
  <c r="Q83" i="12"/>
  <c r="Q82" i="12"/>
  <c r="Q59" i="12"/>
  <c r="Q58" i="12"/>
  <c r="Q56" i="12"/>
  <c r="Q50" i="12"/>
  <c r="Q44" i="12"/>
  <c r="Q43" i="12"/>
  <c r="Q42" i="12"/>
  <c r="BR42" i="12"/>
  <c r="Q41" i="12"/>
  <c r="Q39" i="12"/>
  <c r="Q36" i="12"/>
  <c r="Q33" i="12"/>
  <c r="Q31" i="12"/>
  <c r="Q30" i="12"/>
  <c r="Q29" i="12"/>
  <c r="Q28" i="12"/>
  <c r="Q27" i="12"/>
  <c r="Q26" i="12"/>
  <c r="Q24" i="12"/>
  <c r="Q22" i="12"/>
  <c r="Q20" i="12"/>
  <c r="Q19" i="12"/>
  <c r="Q18" i="12"/>
  <c r="Q21" i="12"/>
  <c r="Q17" i="12"/>
  <c r="Q16" i="12"/>
  <c r="S95" i="12"/>
  <c r="H1999" i="29"/>
  <c r="T88" i="12"/>
  <c r="T83" i="12"/>
  <c r="T75" i="12"/>
  <c r="T65" i="12"/>
  <c r="T64" i="12"/>
  <c r="T63" i="12"/>
  <c r="T62" i="12"/>
  <c r="T61" i="12"/>
  <c r="T59" i="12"/>
  <c r="T58" i="12"/>
  <c r="T56" i="12"/>
  <c r="T54" i="12"/>
  <c r="T53" i="12"/>
  <c r="T51" i="12"/>
  <c r="T50" i="12"/>
  <c r="T49" i="12"/>
  <c r="T44" i="12"/>
  <c r="T43" i="12"/>
  <c r="T42" i="12"/>
  <c r="T41" i="12"/>
  <c r="T36" i="12"/>
  <c r="T33" i="12"/>
  <c r="T30" i="12"/>
  <c r="T29" i="12"/>
  <c r="T45" i="12"/>
  <c r="T114" i="12"/>
  <c r="T118" i="12"/>
  <c r="T27" i="12"/>
  <c r="T24" i="12"/>
  <c r="T19" i="12"/>
  <c r="T18" i="12"/>
  <c r="I109" i="15"/>
  <c r="F60" i="15"/>
  <c r="I88" i="15"/>
  <c r="AM27" i="12"/>
  <c r="AL27" i="12"/>
  <c r="T55" i="12"/>
  <c r="T48" i="12"/>
  <c r="T28" i="12"/>
  <c r="T22" i="12"/>
  <c r="AP19" i="12"/>
  <c r="F80" i="1"/>
  <c r="D116" i="27"/>
  <c r="R88" i="12"/>
  <c r="R83" i="12"/>
  <c r="R59" i="12"/>
  <c r="R58" i="12"/>
  <c r="R56" i="12"/>
  <c r="R50" i="12"/>
  <c r="R44" i="12"/>
  <c r="R43" i="12"/>
  <c r="R41" i="12"/>
  <c r="R39" i="12"/>
  <c r="R33" i="12"/>
  <c r="R32" i="12"/>
  <c r="R31" i="12"/>
  <c r="R29" i="12"/>
  <c r="R28" i="12"/>
  <c r="R27" i="12"/>
  <c r="R26" i="12"/>
  <c r="R24" i="12"/>
  <c r="R20" i="12"/>
  <c r="R19" i="12"/>
  <c r="R18" i="12"/>
  <c r="R17" i="12"/>
  <c r="R95" i="12"/>
  <c r="R42" i="12"/>
  <c r="R22" i="12"/>
  <c r="R16" i="12"/>
  <c r="D120" i="27"/>
  <c r="E78" i="1"/>
  <c r="C120" i="27"/>
  <c r="G120" i="27"/>
  <c r="I82" i="15"/>
  <c r="I115" i="15"/>
  <c r="I104" i="15"/>
  <c r="I97" i="15"/>
  <c r="I68" i="15"/>
  <c r="T45" i="1"/>
  <c r="D66" i="32"/>
  <c r="H63" i="32"/>
  <c r="H64" i="32"/>
  <c r="H65" i="32"/>
  <c r="H67" i="32"/>
  <c r="H69" i="32"/>
  <c r="H70" i="32"/>
  <c r="H73" i="32"/>
  <c r="H74" i="32"/>
  <c r="H75" i="32"/>
  <c r="H76" i="32"/>
  <c r="H78" i="32"/>
  <c r="E62" i="32"/>
  <c r="E66" i="32"/>
  <c r="H66" i="32"/>
  <c r="C62" i="32"/>
  <c r="E1951" i="29"/>
  <c r="C1951" i="29"/>
  <c r="I1951" i="29"/>
  <c r="E140" i="27"/>
  <c r="E137" i="27"/>
  <c r="D142" i="27"/>
  <c r="D88" i="32"/>
  <c r="I88" i="32"/>
  <c r="E88" i="32"/>
  <c r="C88" i="32"/>
  <c r="E30" i="32"/>
  <c r="C30" i="32"/>
  <c r="H87" i="32"/>
  <c r="C92" i="32"/>
  <c r="D92" i="32"/>
  <c r="E92" i="32"/>
  <c r="H92" i="32"/>
  <c r="D14" i="35"/>
  <c r="E14" i="35"/>
  <c r="F14" i="35"/>
  <c r="G14" i="35"/>
  <c r="C14" i="35"/>
  <c r="I14" i="35"/>
  <c r="E94" i="32"/>
  <c r="D94" i="32"/>
  <c r="H94" i="32"/>
  <c r="C94" i="32"/>
  <c r="I94" i="32"/>
  <c r="H93" i="32"/>
  <c r="H95" i="32"/>
  <c r="E19" i="34"/>
  <c r="H19" i="34"/>
  <c r="C19" i="34"/>
  <c r="E909" i="29"/>
  <c r="E943" i="29"/>
  <c r="C909" i="29"/>
  <c r="I909" i="29"/>
  <c r="D1367" i="29"/>
  <c r="C1367" i="29"/>
  <c r="C1413" i="29"/>
  <c r="F17" i="20"/>
  <c r="F14" i="20"/>
  <c r="F10" i="20"/>
  <c r="F12" i="22"/>
  <c r="P15" i="1"/>
  <c r="O15" i="1"/>
  <c r="N15" i="1"/>
  <c r="F15" i="1"/>
  <c r="AB88" i="12"/>
  <c r="AA88" i="12"/>
  <c r="F255" i="1"/>
  <c r="F243" i="22"/>
  <c r="I236" i="22"/>
  <c r="F282" i="22"/>
  <c r="G282" i="22"/>
  <c r="E67" i="31"/>
  <c r="D67" i="31"/>
  <c r="H9" i="31"/>
  <c r="H10" i="31"/>
  <c r="H11" i="31"/>
  <c r="H12" i="31"/>
  <c r="H13" i="31"/>
  <c r="H14" i="31"/>
  <c r="H15" i="31"/>
  <c r="H16" i="31"/>
  <c r="H17" i="31"/>
  <c r="H18" i="31"/>
  <c r="H19" i="31"/>
  <c r="H20" i="31"/>
  <c r="H21" i="31"/>
  <c r="H22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H46" i="31"/>
  <c r="H70" i="31"/>
  <c r="H76" i="31"/>
  <c r="H77" i="31"/>
  <c r="H78" i="31"/>
  <c r="H79" i="31"/>
  <c r="H80" i="31"/>
  <c r="H81" i="31"/>
  <c r="H82" i="31"/>
  <c r="H83" i="31"/>
  <c r="H84" i="31"/>
  <c r="H86" i="31"/>
  <c r="H87" i="31"/>
  <c r="H88" i="31"/>
  <c r="H89" i="31"/>
  <c r="H90" i="31"/>
  <c r="H91" i="31"/>
  <c r="H92" i="31"/>
  <c r="H94" i="31"/>
  <c r="H95" i="31"/>
  <c r="H96" i="31"/>
  <c r="H97" i="31"/>
  <c r="H98" i="31"/>
  <c r="H99" i="31"/>
  <c r="H101" i="31"/>
  <c r="H102" i="31"/>
  <c r="H103" i="31"/>
  <c r="H104" i="31"/>
  <c r="H106" i="31"/>
  <c r="C74" i="31"/>
  <c r="D74" i="31"/>
  <c r="D75" i="31"/>
  <c r="E75" i="31"/>
  <c r="C75" i="31"/>
  <c r="D73" i="31"/>
  <c r="D71" i="31"/>
  <c r="C71" i="31"/>
  <c r="D68" i="31"/>
  <c r="C62" i="31"/>
  <c r="H62" i="31"/>
  <c r="C61" i="31"/>
  <c r="H61" i="31"/>
  <c r="C60" i="31"/>
  <c r="H60" i="31"/>
  <c r="C59" i="31"/>
  <c r="H59" i="31"/>
  <c r="C58" i="31"/>
  <c r="H58" i="31"/>
  <c r="C57" i="31"/>
  <c r="H57" i="31"/>
  <c r="C56" i="31"/>
  <c r="C55" i="31"/>
  <c r="H55" i="31"/>
  <c r="C54" i="31"/>
  <c r="H54" i="31"/>
  <c r="C53" i="31"/>
  <c r="H53" i="31"/>
  <c r="C52" i="31"/>
  <c r="H52" i="31"/>
  <c r="C51" i="31"/>
  <c r="H51" i="31"/>
  <c r="C50" i="31"/>
  <c r="H50" i="31"/>
  <c r="C49" i="31"/>
  <c r="H49" i="31"/>
  <c r="C48" i="31"/>
  <c r="H48" i="31"/>
  <c r="C47" i="31"/>
  <c r="H47" i="31"/>
  <c r="E26" i="1"/>
  <c r="K23" i="22"/>
  <c r="E18" i="1"/>
  <c r="R18" i="1"/>
  <c r="J120" i="15"/>
  <c r="J23" i="15"/>
  <c r="I107" i="15"/>
  <c r="I98" i="15"/>
  <c r="I96" i="15"/>
  <c r="H60" i="15"/>
  <c r="I43" i="15"/>
  <c r="I42" i="15"/>
  <c r="I41" i="15"/>
  <c r="I40" i="15"/>
  <c r="J33" i="15"/>
  <c r="F118" i="15"/>
  <c r="H118" i="15"/>
  <c r="I122" i="15"/>
  <c r="J61" i="15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H43" i="24"/>
  <c r="H44" i="24"/>
  <c r="H45" i="24"/>
  <c r="H46" i="24"/>
  <c r="H47" i="24"/>
  <c r="H48" i="24"/>
  <c r="H49" i="24"/>
  <c r="H50" i="24"/>
  <c r="H51" i="24"/>
  <c r="H52" i="24"/>
  <c r="H53" i="24"/>
  <c r="H54" i="24"/>
  <c r="H55" i="24"/>
  <c r="H56" i="24"/>
  <c r="H57" i="24"/>
  <c r="H58" i="24"/>
  <c r="H59" i="24"/>
  <c r="H60" i="24"/>
  <c r="H61" i="24"/>
  <c r="H62" i="24"/>
  <c r="H63" i="24"/>
  <c r="H64" i="24"/>
  <c r="H65" i="24"/>
  <c r="H66" i="24"/>
  <c r="H67" i="24"/>
  <c r="H68" i="24"/>
  <c r="H69" i="24"/>
  <c r="H70" i="24"/>
  <c r="H71" i="24"/>
  <c r="H72" i="24"/>
  <c r="H73" i="24"/>
  <c r="H74" i="24"/>
  <c r="H75" i="24"/>
  <c r="H76" i="24"/>
  <c r="H77" i="24"/>
  <c r="H78" i="24"/>
  <c r="H79" i="24"/>
  <c r="H80" i="24"/>
  <c r="H81" i="24"/>
  <c r="H82" i="24"/>
  <c r="H83" i="24"/>
  <c r="H84" i="24"/>
  <c r="H85" i="24"/>
  <c r="H86" i="24"/>
  <c r="H87" i="24"/>
  <c r="H88" i="24"/>
  <c r="H89" i="24"/>
  <c r="H90" i="24"/>
  <c r="H91" i="24"/>
  <c r="H92" i="24"/>
  <c r="H93" i="24"/>
  <c r="H94" i="24"/>
  <c r="H95" i="24"/>
  <c r="H96" i="24"/>
  <c r="H97" i="24"/>
  <c r="H98" i="24"/>
  <c r="H99" i="24"/>
  <c r="H100" i="24"/>
  <c r="H101" i="24"/>
  <c r="H102" i="24"/>
  <c r="H103" i="24"/>
  <c r="H104" i="24"/>
  <c r="H105" i="24"/>
  <c r="H106" i="24"/>
  <c r="H107" i="24"/>
  <c r="H108" i="24"/>
  <c r="H109" i="24"/>
  <c r="H110" i="24"/>
  <c r="H111" i="24"/>
  <c r="H112" i="24"/>
  <c r="H113" i="24"/>
  <c r="H114" i="24"/>
  <c r="H115" i="24"/>
  <c r="H116" i="24"/>
  <c r="H117" i="24"/>
  <c r="H118" i="24"/>
  <c r="H119" i="24"/>
  <c r="H120" i="24"/>
  <c r="H121" i="24"/>
  <c r="H122" i="24"/>
  <c r="H123" i="24"/>
  <c r="H124" i="24"/>
  <c r="H125" i="24"/>
  <c r="H126" i="24"/>
  <c r="H127" i="24"/>
  <c r="H128" i="24"/>
  <c r="H129" i="24"/>
  <c r="H130" i="24"/>
  <c r="H131" i="24"/>
  <c r="H132" i="24"/>
  <c r="H133" i="24"/>
  <c r="H134" i="24"/>
  <c r="H135" i="24"/>
  <c r="H136" i="24"/>
  <c r="H137" i="24"/>
  <c r="H138" i="24"/>
  <c r="H139" i="24"/>
  <c r="H140" i="24"/>
  <c r="H141" i="24"/>
  <c r="H142" i="24"/>
  <c r="H143" i="24"/>
  <c r="H144" i="24"/>
  <c r="H145" i="24"/>
  <c r="H146" i="24"/>
  <c r="H147" i="24"/>
  <c r="H148" i="24"/>
  <c r="H149" i="24"/>
  <c r="H150" i="24"/>
  <c r="H151" i="24"/>
  <c r="H152" i="24"/>
  <c r="H153" i="24"/>
  <c r="H154" i="24"/>
  <c r="H155" i="24"/>
  <c r="H156" i="24"/>
  <c r="H157" i="24"/>
  <c r="H158" i="24"/>
  <c r="H159" i="24"/>
  <c r="H160" i="24"/>
  <c r="H161" i="24"/>
  <c r="H162" i="24"/>
  <c r="H163" i="24"/>
  <c r="H164" i="24"/>
  <c r="H165" i="24"/>
  <c r="H166" i="24"/>
  <c r="H167" i="24"/>
  <c r="H168" i="24"/>
  <c r="H169" i="24"/>
  <c r="H170" i="24"/>
  <c r="H171" i="24"/>
  <c r="H172" i="24"/>
  <c r="H173" i="24"/>
  <c r="H174" i="24"/>
  <c r="H175" i="24"/>
  <c r="H176" i="24"/>
  <c r="H177" i="24"/>
  <c r="H178" i="24"/>
  <c r="H179" i="24"/>
  <c r="H180" i="24"/>
  <c r="H181" i="24"/>
  <c r="H182" i="24"/>
  <c r="H183" i="24"/>
  <c r="H184" i="24"/>
  <c r="H185" i="24"/>
  <c r="H186" i="24"/>
  <c r="H187" i="24"/>
  <c r="H188" i="24"/>
  <c r="H189" i="24"/>
  <c r="H190" i="24"/>
  <c r="H192" i="24"/>
  <c r="H193" i="24"/>
  <c r="H194" i="24"/>
  <c r="H195" i="24"/>
  <c r="H196" i="24"/>
  <c r="H197" i="24"/>
  <c r="H198" i="24"/>
  <c r="H199" i="24"/>
  <c r="H200" i="24"/>
  <c r="H201" i="24"/>
  <c r="H202" i="24"/>
  <c r="H203" i="24"/>
  <c r="H204" i="24"/>
  <c r="H205" i="24"/>
  <c r="H206" i="24"/>
  <c r="H207" i="24"/>
  <c r="H208" i="24"/>
  <c r="H209" i="24"/>
  <c r="H210" i="24"/>
  <c r="H211" i="24"/>
  <c r="H212" i="24"/>
  <c r="H213" i="24"/>
  <c r="H214" i="24"/>
  <c r="H215" i="24"/>
  <c r="H216" i="24"/>
  <c r="H217" i="24"/>
  <c r="H218" i="24"/>
  <c r="H220" i="24"/>
  <c r="H221" i="24"/>
  <c r="H222" i="24"/>
  <c r="H223" i="24"/>
  <c r="H224" i="24"/>
  <c r="H225" i="24"/>
  <c r="H226" i="24"/>
  <c r="H227" i="24"/>
  <c r="H228" i="24"/>
  <c r="H229" i="24"/>
  <c r="H230" i="24"/>
  <c r="H231" i="24"/>
  <c r="H232" i="24"/>
  <c r="H233" i="24"/>
  <c r="H234" i="24"/>
  <c r="H235" i="24"/>
  <c r="H236" i="24"/>
  <c r="H237" i="24"/>
  <c r="H238" i="24"/>
  <c r="H239" i="24"/>
  <c r="H240" i="24"/>
  <c r="H241" i="24"/>
  <c r="H242" i="24"/>
  <c r="H243" i="24"/>
  <c r="H244" i="24"/>
  <c r="H245" i="24"/>
  <c r="H246" i="24"/>
  <c r="H247" i="24"/>
  <c r="H248" i="24"/>
  <c r="H249" i="24"/>
  <c r="H250" i="24"/>
  <c r="H251" i="24"/>
  <c r="H252" i="24"/>
  <c r="H253" i="24"/>
  <c r="H254" i="24"/>
  <c r="H255" i="24"/>
  <c r="H256" i="24"/>
  <c r="H257" i="24"/>
  <c r="H258" i="24"/>
  <c r="H259" i="24"/>
  <c r="H260" i="24"/>
  <c r="H261" i="24"/>
  <c r="H262" i="24"/>
  <c r="H263" i="24"/>
  <c r="H264" i="24"/>
  <c r="H265" i="24"/>
  <c r="H266" i="24"/>
  <c r="H267" i="24"/>
  <c r="H268" i="24"/>
  <c r="H269" i="24"/>
  <c r="H270" i="24"/>
  <c r="H271" i="24"/>
  <c r="H272" i="24"/>
  <c r="H273" i="24"/>
  <c r="H274" i="24"/>
  <c r="H275" i="24"/>
  <c r="H276" i="24"/>
  <c r="H277" i="24"/>
  <c r="H278" i="24"/>
  <c r="H279" i="24"/>
  <c r="H280" i="24"/>
  <c r="H281" i="24"/>
  <c r="H282" i="24"/>
  <c r="H283" i="24"/>
  <c r="H284" i="24"/>
  <c r="H285" i="24"/>
  <c r="H286" i="24"/>
  <c r="H287" i="24"/>
  <c r="H288" i="24"/>
  <c r="H289" i="24"/>
  <c r="H290" i="24"/>
  <c r="H291" i="24"/>
  <c r="H292" i="24"/>
  <c r="H293" i="24"/>
  <c r="H294" i="24"/>
  <c r="H295" i="24"/>
  <c r="H296" i="24"/>
  <c r="H297" i="24"/>
  <c r="H298" i="24"/>
  <c r="H299" i="24"/>
  <c r="H300" i="24"/>
  <c r="H301" i="24"/>
  <c r="H302" i="24"/>
  <c r="H303" i="24"/>
  <c r="H304" i="24"/>
  <c r="H305" i="24"/>
  <c r="H306" i="24"/>
  <c r="H307" i="24"/>
  <c r="H308" i="24"/>
  <c r="H309" i="24"/>
  <c r="H310" i="24"/>
  <c r="H311" i="24"/>
  <c r="H312" i="24"/>
  <c r="H313" i="24"/>
  <c r="H314" i="24"/>
  <c r="H315" i="24"/>
  <c r="H316" i="24"/>
  <c r="H317" i="24"/>
  <c r="H319" i="24"/>
  <c r="H320" i="24"/>
  <c r="H321" i="24"/>
  <c r="H322" i="24"/>
  <c r="H323" i="24"/>
  <c r="H324" i="24"/>
  <c r="H325" i="24"/>
  <c r="H326" i="24"/>
  <c r="H327" i="24"/>
  <c r="H328" i="24"/>
  <c r="H329" i="24"/>
  <c r="H330" i="24"/>
  <c r="H331" i="24"/>
  <c r="H332" i="24"/>
  <c r="H333" i="24"/>
  <c r="H334" i="24"/>
  <c r="H335" i="24"/>
  <c r="H336" i="24"/>
  <c r="H337" i="24"/>
  <c r="H338" i="24"/>
  <c r="H339" i="24"/>
  <c r="H340" i="24"/>
  <c r="H341" i="24"/>
  <c r="H344" i="24"/>
  <c r="H345" i="24"/>
  <c r="H346" i="24"/>
  <c r="H347" i="24"/>
  <c r="H348" i="24"/>
  <c r="H349" i="24"/>
  <c r="H350" i="24"/>
  <c r="H351" i="24"/>
  <c r="H352" i="24"/>
  <c r="H353" i="24"/>
  <c r="H354" i="24"/>
  <c r="H355" i="24"/>
  <c r="H356" i="24"/>
  <c r="H357" i="24"/>
  <c r="H358" i="24"/>
  <c r="H359" i="24"/>
  <c r="H360" i="24"/>
  <c r="H361" i="24"/>
  <c r="H362" i="24"/>
  <c r="H363" i="24"/>
  <c r="H364" i="24"/>
  <c r="H365" i="24"/>
  <c r="H366" i="24"/>
  <c r="H368" i="24"/>
  <c r="H369" i="24"/>
  <c r="H370" i="24"/>
  <c r="H371" i="24"/>
  <c r="H372" i="24"/>
  <c r="H373" i="24"/>
  <c r="H374" i="24"/>
  <c r="H375" i="24"/>
  <c r="H376" i="24"/>
  <c r="H377" i="24"/>
  <c r="H378" i="24"/>
  <c r="H379" i="24"/>
  <c r="H380" i="24"/>
  <c r="H381" i="24"/>
  <c r="H382" i="24"/>
  <c r="H383" i="24"/>
  <c r="H384" i="24"/>
  <c r="H385" i="24"/>
  <c r="H386" i="24"/>
  <c r="H387" i="24"/>
  <c r="H388" i="24"/>
  <c r="H389" i="24"/>
  <c r="H390" i="24"/>
  <c r="H391" i="24"/>
  <c r="H392" i="24"/>
  <c r="H393" i="24"/>
  <c r="H394" i="24"/>
  <c r="H395" i="24"/>
  <c r="H396" i="24"/>
  <c r="H397" i="24"/>
  <c r="H398" i="24"/>
  <c r="H399" i="24"/>
  <c r="H400" i="24"/>
  <c r="H401" i="24"/>
  <c r="H402" i="24"/>
  <c r="H403" i="24"/>
  <c r="H404" i="24"/>
  <c r="H405" i="24"/>
  <c r="H406" i="24"/>
  <c r="H407" i="24"/>
  <c r="H408" i="24"/>
  <c r="H409" i="24"/>
  <c r="H410" i="24"/>
  <c r="H411" i="24"/>
  <c r="H412" i="24"/>
  <c r="H413" i="24"/>
  <c r="H414" i="24"/>
  <c r="H415" i="24"/>
  <c r="H416" i="24"/>
  <c r="H417" i="24"/>
  <c r="H418" i="24"/>
  <c r="H419" i="24"/>
  <c r="H420" i="24"/>
  <c r="H421" i="24"/>
  <c r="H422" i="24"/>
  <c r="H423" i="24"/>
  <c r="H424" i="24"/>
  <c r="H425" i="24"/>
  <c r="H426" i="24"/>
  <c r="H427" i="24"/>
  <c r="H428" i="24"/>
  <c r="H429" i="24"/>
  <c r="H430" i="24"/>
  <c r="H431" i="24"/>
  <c r="H432" i="24"/>
  <c r="H433" i="24"/>
  <c r="H435" i="24"/>
  <c r="H437" i="24"/>
  <c r="H438" i="24"/>
  <c r="H439" i="24"/>
  <c r="H440" i="24"/>
  <c r="H441" i="24"/>
  <c r="H442" i="24"/>
  <c r="H443" i="24"/>
  <c r="H444" i="24"/>
  <c r="H445" i="24"/>
  <c r="H446" i="24"/>
  <c r="H447" i="24"/>
  <c r="H448" i="24"/>
  <c r="H449" i="24"/>
  <c r="H450" i="24"/>
  <c r="H451" i="24"/>
  <c r="H452" i="24"/>
  <c r="H453" i="24"/>
  <c r="H454" i="24"/>
  <c r="H455" i="24"/>
  <c r="H456" i="24"/>
  <c r="H457" i="24"/>
  <c r="H458" i="24"/>
  <c r="H459" i="24"/>
  <c r="H460" i="24"/>
  <c r="H461" i="24"/>
  <c r="H462" i="24"/>
  <c r="H463" i="24"/>
  <c r="H464" i="24"/>
  <c r="H465" i="24"/>
  <c r="H466" i="24"/>
  <c r="H467" i="24"/>
  <c r="H468" i="24"/>
  <c r="H469" i="24"/>
  <c r="H470" i="24"/>
  <c r="H471" i="24"/>
  <c r="H472" i="24"/>
  <c r="H473" i="24"/>
  <c r="H475" i="24"/>
  <c r="H476" i="24"/>
  <c r="H477" i="24"/>
  <c r="H478" i="24"/>
  <c r="H479" i="24"/>
  <c r="H480" i="24"/>
  <c r="H481" i="24"/>
  <c r="H482" i="24"/>
  <c r="H483" i="24"/>
  <c r="H484" i="24"/>
  <c r="H485" i="24"/>
  <c r="H486" i="24"/>
  <c r="H487" i="24"/>
  <c r="H488" i="24"/>
  <c r="H489" i="24"/>
  <c r="H490" i="24"/>
  <c r="H491" i="24"/>
  <c r="H492" i="24"/>
  <c r="H493" i="24"/>
  <c r="H494" i="24"/>
  <c r="H495" i="24"/>
  <c r="H496" i="24"/>
  <c r="H497" i="24"/>
  <c r="H498" i="24"/>
  <c r="H499" i="24"/>
  <c r="H500" i="24"/>
  <c r="H501" i="24"/>
  <c r="H502" i="24"/>
  <c r="H503" i="24"/>
  <c r="H504" i="24"/>
  <c r="H505" i="24"/>
  <c r="H506" i="24"/>
  <c r="H507" i="24"/>
  <c r="H508" i="24"/>
  <c r="H509" i="24"/>
  <c r="H510" i="24"/>
  <c r="H511" i="24"/>
  <c r="H512" i="24"/>
  <c r="H513" i="24"/>
  <c r="H514" i="24"/>
  <c r="H515" i="24"/>
  <c r="H516" i="24"/>
  <c r="H517" i="24"/>
  <c r="H518" i="24"/>
  <c r="H519" i="24"/>
  <c r="H520" i="24"/>
  <c r="H521" i="24"/>
  <c r="H522" i="24"/>
  <c r="H523" i="24"/>
  <c r="H524" i="24"/>
  <c r="H525" i="24"/>
  <c r="H526" i="24"/>
  <c r="H527" i="24"/>
  <c r="H528" i="24"/>
  <c r="H529" i="24"/>
  <c r="H530" i="24"/>
  <c r="H531" i="24"/>
  <c r="H532" i="24"/>
  <c r="H533" i="24"/>
  <c r="H534" i="24"/>
  <c r="H535" i="24"/>
  <c r="H536" i="24"/>
  <c r="H537" i="24"/>
  <c r="H538" i="24"/>
  <c r="H539" i="24"/>
  <c r="H540" i="24"/>
  <c r="H541" i="24"/>
  <c r="H542" i="24"/>
  <c r="H543" i="24"/>
  <c r="H544" i="24"/>
  <c r="H545" i="24"/>
  <c r="H546" i="24"/>
  <c r="H547" i="24"/>
  <c r="H548" i="24"/>
  <c r="H549" i="24"/>
  <c r="H550" i="24"/>
  <c r="H551" i="24"/>
  <c r="H552" i="24"/>
  <c r="H553" i="24"/>
  <c r="H554" i="24"/>
  <c r="H555" i="24"/>
  <c r="H556" i="24"/>
  <c r="H557" i="24"/>
  <c r="H558" i="24"/>
  <c r="H559" i="24"/>
  <c r="H560" i="24"/>
  <c r="H561" i="24"/>
  <c r="H563" i="24"/>
  <c r="H564" i="24"/>
  <c r="H565" i="24"/>
  <c r="H566" i="24"/>
  <c r="H567" i="24"/>
  <c r="H568" i="24"/>
  <c r="H569" i="24"/>
  <c r="H570" i="24"/>
  <c r="H571" i="24"/>
  <c r="H572" i="24"/>
  <c r="H573" i="24"/>
  <c r="H574" i="24"/>
  <c r="H575" i="24"/>
  <c r="H576" i="24"/>
  <c r="H577" i="24"/>
  <c r="H578" i="24"/>
  <c r="H579" i="24"/>
  <c r="H580" i="24"/>
  <c r="H581" i="24"/>
  <c r="H582" i="24"/>
  <c r="H583" i="24"/>
  <c r="H584" i="24"/>
  <c r="H585" i="24"/>
  <c r="H586" i="24"/>
  <c r="H587" i="24"/>
  <c r="H588" i="24"/>
  <c r="H589" i="24"/>
  <c r="H590" i="24"/>
  <c r="H591" i="24"/>
  <c r="H592" i="24"/>
  <c r="H593" i="24"/>
  <c r="H594" i="24"/>
  <c r="H595" i="24"/>
  <c r="H596" i="24"/>
  <c r="H597" i="24"/>
  <c r="H598" i="24"/>
  <c r="H599" i="24"/>
  <c r="H600" i="24"/>
  <c r="H601" i="24"/>
  <c r="H602" i="24"/>
  <c r="H603" i="24"/>
  <c r="H604" i="24"/>
  <c r="H605" i="24"/>
  <c r="H606" i="24"/>
  <c r="H607" i="24"/>
  <c r="H608" i="24"/>
  <c r="H609" i="24"/>
  <c r="H610" i="24"/>
  <c r="H611" i="24"/>
  <c r="H612" i="24"/>
  <c r="H613" i="24"/>
  <c r="H614" i="24"/>
  <c r="H616" i="24"/>
  <c r="H617" i="24"/>
  <c r="H618" i="24"/>
  <c r="H619" i="24"/>
  <c r="H620" i="24"/>
  <c r="H621" i="24"/>
  <c r="H622" i="24"/>
  <c r="H623" i="24"/>
  <c r="H624" i="24"/>
  <c r="H625" i="24"/>
  <c r="H626" i="24"/>
  <c r="H627" i="24"/>
  <c r="H628" i="24"/>
  <c r="H629" i="24"/>
  <c r="H630" i="24"/>
  <c r="H631" i="24"/>
  <c r="H632" i="24"/>
  <c r="H633" i="24"/>
  <c r="H634" i="24"/>
  <c r="H635" i="24"/>
  <c r="H636" i="24"/>
  <c r="H637" i="24"/>
  <c r="H638" i="24"/>
  <c r="H639" i="24"/>
  <c r="H640" i="24"/>
  <c r="H641" i="24"/>
  <c r="H642" i="24"/>
  <c r="H643" i="24"/>
  <c r="H644" i="24"/>
  <c r="H645" i="24"/>
  <c r="H646" i="24"/>
  <c r="H647" i="24"/>
  <c r="H648" i="24"/>
  <c r="H649" i="24"/>
  <c r="H650" i="24"/>
  <c r="H651" i="24"/>
  <c r="H652" i="24"/>
  <c r="H653" i="24"/>
  <c r="H654" i="24"/>
  <c r="H655" i="24"/>
  <c r="H656" i="24"/>
  <c r="H657" i="24"/>
  <c r="H658" i="24"/>
  <c r="H659" i="24"/>
  <c r="H660" i="24"/>
  <c r="H661" i="24"/>
  <c r="H662" i="24"/>
  <c r="H663" i="24"/>
  <c r="H664" i="24"/>
  <c r="H665" i="24"/>
  <c r="H666" i="24"/>
  <c r="H667" i="24"/>
  <c r="H668" i="24"/>
  <c r="H669" i="24"/>
  <c r="H670" i="24"/>
  <c r="H671" i="24"/>
  <c r="H672" i="24"/>
  <c r="H673" i="24"/>
  <c r="H674" i="24"/>
  <c r="H676" i="24"/>
  <c r="H677" i="24"/>
  <c r="H678" i="24"/>
  <c r="H679" i="24"/>
  <c r="H680" i="24"/>
  <c r="H681" i="24"/>
  <c r="H682" i="24"/>
  <c r="H683" i="24"/>
  <c r="H684" i="24"/>
  <c r="H685" i="24"/>
  <c r="H686" i="24"/>
  <c r="H687" i="24"/>
  <c r="H688" i="24"/>
  <c r="H689" i="24"/>
  <c r="H690" i="24"/>
  <c r="H691" i="24"/>
  <c r="H693" i="24"/>
  <c r="H694" i="24"/>
  <c r="H695" i="24"/>
  <c r="H696" i="24"/>
  <c r="H697" i="24"/>
  <c r="H698" i="24"/>
  <c r="H699" i="24"/>
  <c r="H700" i="24"/>
  <c r="H701" i="24"/>
  <c r="H706" i="24"/>
  <c r="H707" i="24"/>
  <c r="H708" i="24"/>
  <c r="H709" i="24"/>
  <c r="H710" i="24"/>
  <c r="H711" i="24"/>
  <c r="H712" i="24"/>
  <c r="H713" i="24"/>
  <c r="H714" i="24"/>
  <c r="H715" i="24"/>
  <c r="H716" i="24"/>
  <c r="H717" i="24"/>
  <c r="H718" i="24"/>
  <c r="H719" i="24"/>
  <c r="H720" i="24"/>
  <c r="H721" i="24"/>
  <c r="H722" i="24"/>
  <c r="H723" i="24"/>
  <c r="H725" i="24"/>
  <c r="H726" i="24"/>
  <c r="H727" i="24"/>
  <c r="H728" i="24"/>
  <c r="H729" i="24"/>
  <c r="H730" i="24"/>
  <c r="H731" i="24"/>
  <c r="H732" i="24"/>
  <c r="H733" i="24"/>
  <c r="H734" i="24"/>
  <c r="H735" i="24"/>
  <c r="H736" i="24"/>
  <c r="H737" i="24"/>
  <c r="H738" i="24"/>
  <c r="H739" i="24"/>
  <c r="H740" i="24"/>
  <c r="H741" i="24"/>
  <c r="H742" i="24"/>
  <c r="H743" i="24"/>
  <c r="H744" i="24"/>
  <c r="H745" i="24"/>
  <c r="H746" i="24"/>
  <c r="H747" i="24"/>
  <c r="H748" i="24"/>
  <c r="H749" i="24"/>
  <c r="H750" i="24"/>
  <c r="H751" i="24"/>
  <c r="H752" i="24"/>
  <c r="H753" i="24"/>
  <c r="H754" i="24"/>
  <c r="H755" i="24"/>
  <c r="H756" i="24"/>
  <c r="H757" i="24"/>
  <c r="H758" i="24"/>
  <c r="H759" i="24"/>
  <c r="H760" i="24"/>
  <c r="H761" i="24"/>
  <c r="H762" i="24"/>
  <c r="H763" i="24"/>
  <c r="H764" i="24"/>
  <c r="H766" i="24"/>
  <c r="H767" i="24"/>
  <c r="H768" i="24"/>
  <c r="H769" i="24"/>
  <c r="H770" i="24"/>
  <c r="H771" i="24"/>
  <c r="H772" i="24"/>
  <c r="H773" i="24"/>
  <c r="H774" i="24"/>
  <c r="H775" i="24"/>
  <c r="H776" i="24"/>
  <c r="H777" i="24"/>
  <c r="H778" i="24"/>
  <c r="H779" i="24"/>
  <c r="H780" i="24"/>
  <c r="H781" i="24"/>
  <c r="H782" i="24"/>
  <c r="H783" i="24"/>
  <c r="H784" i="24"/>
  <c r="H785" i="24"/>
  <c r="H786" i="24"/>
  <c r="H787" i="24"/>
  <c r="H788" i="24"/>
  <c r="H789" i="24"/>
  <c r="H790" i="24"/>
  <c r="H791" i="24"/>
  <c r="H792" i="24"/>
  <c r="H793" i="24"/>
  <c r="H794" i="24"/>
  <c r="H795" i="24"/>
  <c r="H796" i="24"/>
  <c r="H797" i="24"/>
  <c r="H798" i="24"/>
  <c r="H799" i="24"/>
  <c r="H800" i="24"/>
  <c r="H801" i="24"/>
  <c r="H802" i="24"/>
  <c r="H803" i="24"/>
  <c r="H804" i="24"/>
  <c r="H805" i="24"/>
  <c r="H806" i="24"/>
  <c r="H807" i="24"/>
  <c r="H808" i="24"/>
  <c r="H809" i="24"/>
  <c r="H810" i="24"/>
  <c r="H811" i="24"/>
  <c r="H812" i="24"/>
  <c r="H813" i="24"/>
  <c r="H814" i="24"/>
  <c r="H815" i="24"/>
  <c r="H816" i="24"/>
  <c r="H817" i="24"/>
  <c r="H818" i="24"/>
  <c r="H820" i="24"/>
  <c r="H821" i="24"/>
  <c r="H822" i="24"/>
  <c r="H823" i="24"/>
  <c r="H824" i="24"/>
  <c r="H825" i="24"/>
  <c r="H826" i="24"/>
  <c r="H827" i="24"/>
  <c r="H828" i="24"/>
  <c r="H829" i="24"/>
  <c r="H830" i="24"/>
  <c r="H831" i="24"/>
  <c r="H832" i="24"/>
  <c r="H833" i="24"/>
  <c r="H834" i="24"/>
  <c r="H835" i="24"/>
  <c r="H836" i="24"/>
  <c r="H837" i="24"/>
  <c r="H838" i="24"/>
  <c r="H839" i="24"/>
  <c r="H840" i="24"/>
  <c r="H841" i="24"/>
  <c r="H842" i="24"/>
  <c r="H843" i="24"/>
  <c r="H844" i="24"/>
  <c r="H845" i="24"/>
  <c r="H846" i="24"/>
  <c r="H847" i="24"/>
  <c r="H848" i="24"/>
  <c r="H849" i="24"/>
  <c r="H850" i="24"/>
  <c r="H851" i="24"/>
  <c r="H852" i="24"/>
  <c r="H853" i="24"/>
  <c r="H854" i="24"/>
  <c r="H855" i="24"/>
  <c r="H856" i="24"/>
  <c r="H857" i="24"/>
  <c r="H858" i="24"/>
  <c r="H859" i="24"/>
  <c r="H860" i="24"/>
  <c r="H861" i="24"/>
  <c r="H862" i="24"/>
  <c r="H863" i="24"/>
  <c r="H864" i="24"/>
  <c r="H865" i="24"/>
  <c r="H866" i="24"/>
  <c r="H867" i="24"/>
  <c r="H868" i="24"/>
  <c r="H869" i="24"/>
  <c r="H870" i="24"/>
  <c r="H871" i="24"/>
  <c r="H872" i="24"/>
  <c r="H873" i="24"/>
  <c r="H874" i="24"/>
  <c r="H875" i="24"/>
  <c r="H876" i="24"/>
  <c r="H877" i="24"/>
  <c r="H878" i="24"/>
  <c r="H879" i="24"/>
  <c r="H881" i="24"/>
  <c r="H882" i="24"/>
  <c r="H883" i="24"/>
  <c r="H884" i="24"/>
  <c r="H885" i="24"/>
  <c r="H886" i="24"/>
  <c r="H887" i="24"/>
  <c r="H888" i="24"/>
  <c r="H889" i="24"/>
  <c r="H890" i="24"/>
  <c r="H891" i="24"/>
  <c r="H892" i="24"/>
  <c r="H893" i="24"/>
  <c r="H894" i="24"/>
  <c r="H895" i="24"/>
  <c r="H896" i="24"/>
  <c r="H897" i="24"/>
  <c r="H898" i="24"/>
  <c r="H899" i="24"/>
  <c r="H900" i="24"/>
  <c r="H901" i="24"/>
  <c r="H902" i="24"/>
  <c r="H903" i="24"/>
  <c r="H904" i="24"/>
  <c r="H905" i="24"/>
  <c r="H906" i="24"/>
  <c r="H907" i="24"/>
  <c r="H908" i="24"/>
  <c r="H909" i="24"/>
  <c r="H910" i="24"/>
  <c r="H911" i="24"/>
  <c r="H912" i="24"/>
  <c r="H913" i="24"/>
  <c r="H914" i="24"/>
  <c r="H915" i="24"/>
  <c r="H916" i="24"/>
  <c r="H917" i="24"/>
  <c r="H918" i="24"/>
  <c r="H920" i="24"/>
  <c r="H922" i="24"/>
  <c r="H925" i="24"/>
  <c r="H926" i="24"/>
  <c r="H928" i="24"/>
  <c r="H929" i="24"/>
  <c r="H930" i="24"/>
  <c r="H931" i="24"/>
  <c r="H932" i="24"/>
  <c r="H933" i="24"/>
  <c r="H934" i="24"/>
  <c r="H935" i="24"/>
  <c r="H936" i="24"/>
  <c r="H938" i="24"/>
  <c r="H939" i="24"/>
  <c r="H940" i="24"/>
  <c r="H941" i="24"/>
  <c r="H942" i="24"/>
  <c r="H943" i="24"/>
  <c r="H944" i="24"/>
  <c r="H945" i="24"/>
  <c r="H946" i="24"/>
  <c r="H947" i="24"/>
  <c r="H948" i="24"/>
  <c r="H949" i="24"/>
  <c r="H950" i="24"/>
  <c r="H951" i="24"/>
  <c r="H952" i="24"/>
  <c r="H953" i="24"/>
  <c r="H954" i="24"/>
  <c r="H955" i="24"/>
  <c r="H956" i="24"/>
  <c r="H957" i="24"/>
  <c r="H958" i="24"/>
  <c r="H959" i="24"/>
  <c r="H960" i="24"/>
  <c r="H961" i="24"/>
  <c r="H962" i="24"/>
  <c r="H963" i="24"/>
  <c r="H964" i="24"/>
  <c r="H965" i="24"/>
  <c r="H966" i="24"/>
  <c r="H967" i="24"/>
  <c r="H968" i="24"/>
  <c r="H969" i="24"/>
  <c r="H970" i="24"/>
  <c r="H971" i="24"/>
  <c r="H972" i="24"/>
  <c r="H973" i="24"/>
  <c r="H974" i="24"/>
  <c r="H975" i="24"/>
  <c r="H976" i="24"/>
  <c r="H977" i="24"/>
  <c r="H978" i="24"/>
  <c r="H979" i="24"/>
  <c r="H980" i="24"/>
  <c r="H981" i="24"/>
  <c r="H982" i="24"/>
  <c r="H983" i="24"/>
  <c r="H984" i="24"/>
  <c r="H985" i="24"/>
  <c r="H986" i="24"/>
  <c r="H987" i="24"/>
  <c r="H988" i="24"/>
  <c r="H989" i="24"/>
  <c r="H990" i="24"/>
  <c r="H991" i="24"/>
  <c r="H992" i="24"/>
  <c r="H993" i="24"/>
  <c r="H994" i="24"/>
  <c r="H995" i="24"/>
  <c r="H996" i="24"/>
  <c r="H997" i="24"/>
  <c r="H999" i="24"/>
  <c r="H1000" i="24"/>
  <c r="H1001" i="24"/>
  <c r="H1002" i="24"/>
  <c r="H1003" i="24"/>
  <c r="H1004" i="24"/>
  <c r="H1005" i="24"/>
  <c r="H1006" i="24"/>
  <c r="H1007" i="24"/>
  <c r="H1008" i="24"/>
  <c r="H1009" i="24"/>
  <c r="H1010" i="24"/>
  <c r="H1011" i="24"/>
  <c r="H1012" i="24"/>
  <c r="H1013" i="24"/>
  <c r="H1014" i="24"/>
  <c r="H1015" i="24"/>
  <c r="H1016" i="24"/>
  <c r="H1017" i="24"/>
  <c r="H1018" i="24"/>
  <c r="H1019" i="24"/>
  <c r="H1020" i="24"/>
  <c r="H1021" i="24"/>
  <c r="H1022" i="24"/>
  <c r="H1023" i="24"/>
  <c r="H1024" i="24"/>
  <c r="H1025" i="24"/>
  <c r="H1026" i="24"/>
  <c r="H1027" i="24"/>
  <c r="H1028" i="24"/>
  <c r="H1029" i="24"/>
  <c r="H1030" i="24"/>
  <c r="H1031" i="24"/>
  <c r="H1033" i="24"/>
  <c r="H1034" i="24"/>
  <c r="H1035" i="24"/>
  <c r="H1036" i="24"/>
  <c r="H1037" i="24"/>
  <c r="H1038" i="24"/>
  <c r="H1039" i="24"/>
  <c r="H1040" i="24"/>
  <c r="H1041" i="24"/>
  <c r="H1042" i="24"/>
  <c r="H1043" i="24"/>
  <c r="H1044" i="24"/>
  <c r="H1045" i="24"/>
  <c r="H1046" i="24"/>
  <c r="H1047" i="24"/>
  <c r="H1048" i="24"/>
  <c r="H1049" i="24"/>
  <c r="H1050" i="24"/>
  <c r="H1051" i="24"/>
  <c r="H1052" i="24"/>
  <c r="H1053" i="24"/>
  <c r="H1054" i="24"/>
  <c r="H1055" i="24"/>
  <c r="H1056" i="24"/>
  <c r="H1057" i="24"/>
  <c r="H1058" i="24"/>
  <c r="H1059" i="24"/>
  <c r="H1060" i="24"/>
  <c r="H1061" i="24"/>
  <c r="H1062" i="24"/>
  <c r="H1063" i="24"/>
  <c r="H1064" i="24"/>
  <c r="H1065" i="24"/>
  <c r="H1066" i="24"/>
  <c r="H1067" i="24"/>
  <c r="H1068" i="24"/>
  <c r="H1069" i="24"/>
  <c r="H1070" i="24"/>
  <c r="H1071" i="24"/>
  <c r="H1072" i="24"/>
  <c r="H1073" i="24"/>
  <c r="H1074" i="24"/>
  <c r="H1075" i="24"/>
  <c r="H1076" i="24"/>
  <c r="H1077" i="24"/>
  <c r="H1078" i="24"/>
  <c r="H1079" i="24"/>
  <c r="H1080" i="24"/>
  <c r="H1081" i="24"/>
  <c r="H1082" i="24"/>
  <c r="H1083" i="24"/>
  <c r="H1084" i="24"/>
  <c r="H1085" i="24"/>
  <c r="H1086" i="24"/>
  <c r="H1087" i="24"/>
  <c r="H1088" i="24"/>
  <c r="H1089" i="24"/>
  <c r="H1090" i="24"/>
  <c r="H1091" i="24"/>
  <c r="H1092" i="24"/>
  <c r="H1093" i="24"/>
  <c r="H1094" i="24"/>
  <c r="H1095" i="24"/>
  <c r="H1096" i="24"/>
  <c r="H1097" i="24"/>
  <c r="H1099" i="24"/>
  <c r="H1100" i="24"/>
  <c r="H1101" i="24"/>
  <c r="H1102" i="24"/>
  <c r="H1103" i="24"/>
  <c r="H1104" i="24"/>
  <c r="H1105" i="24"/>
  <c r="H1106" i="24"/>
  <c r="H1107" i="24"/>
  <c r="H1108" i="24"/>
  <c r="H1109" i="24"/>
  <c r="H1110" i="24"/>
  <c r="H1111" i="24"/>
  <c r="H1112" i="24"/>
  <c r="H1113" i="24"/>
  <c r="H1114" i="24"/>
  <c r="H1115" i="24"/>
  <c r="H1116" i="24"/>
  <c r="H1117" i="24"/>
  <c r="H1118" i="24"/>
  <c r="H1119" i="24"/>
  <c r="H1120" i="24"/>
  <c r="H1121" i="24"/>
  <c r="H1122" i="24"/>
  <c r="H1123" i="24"/>
  <c r="H1124" i="24"/>
  <c r="H1125" i="24"/>
  <c r="H1126" i="24"/>
  <c r="H1127" i="24"/>
  <c r="H1128" i="24"/>
  <c r="H1129" i="24"/>
  <c r="H1130" i="24"/>
  <c r="H1131" i="24"/>
  <c r="H1132" i="24"/>
  <c r="H1133" i="24"/>
  <c r="H1134" i="24"/>
  <c r="H1135" i="24"/>
  <c r="H1136" i="24"/>
  <c r="H1137" i="24"/>
  <c r="H1138" i="24"/>
  <c r="H1139" i="24"/>
  <c r="H1140" i="24"/>
  <c r="H1141" i="24"/>
  <c r="H1142" i="24"/>
  <c r="H1143" i="24"/>
  <c r="H1144" i="24"/>
  <c r="H1145" i="24"/>
  <c r="H1146" i="24"/>
  <c r="H1147" i="24"/>
  <c r="H1148" i="24"/>
  <c r="H1149" i="24"/>
  <c r="H1150" i="24"/>
  <c r="H1151" i="24"/>
  <c r="H1152" i="24"/>
  <c r="H1153" i="24"/>
  <c r="H1154" i="24"/>
  <c r="H1155" i="24"/>
  <c r="H1156" i="24"/>
  <c r="H1157" i="24"/>
  <c r="H1158" i="24"/>
  <c r="H1159" i="24"/>
  <c r="H1160" i="24"/>
  <c r="H1161" i="24"/>
  <c r="H1162" i="24"/>
  <c r="H1163" i="24"/>
  <c r="H1164" i="24"/>
  <c r="H1166" i="24"/>
  <c r="H1168" i="24"/>
  <c r="H1169" i="24"/>
  <c r="H1170" i="24"/>
  <c r="H1171" i="24"/>
  <c r="H1172" i="24"/>
  <c r="H1173" i="24"/>
  <c r="H1174" i="24"/>
  <c r="H1175" i="24"/>
  <c r="H1176" i="24"/>
  <c r="H1177" i="24"/>
  <c r="H1178" i="24"/>
  <c r="H1179" i="24"/>
  <c r="H1180" i="24"/>
  <c r="H1181" i="24"/>
  <c r="H1182" i="24"/>
  <c r="H1183" i="24"/>
  <c r="H1184" i="24"/>
  <c r="H1185" i="24"/>
  <c r="H1186" i="24"/>
  <c r="H1187" i="24"/>
  <c r="H1188" i="24"/>
  <c r="H1189" i="24"/>
  <c r="H1190" i="24"/>
  <c r="H1191" i="24"/>
  <c r="H1192" i="24"/>
  <c r="H1193" i="24"/>
  <c r="H1194" i="24"/>
  <c r="H1195" i="24"/>
  <c r="H1196" i="24"/>
  <c r="H1197" i="24"/>
  <c r="H1198" i="24"/>
  <c r="H1199" i="24"/>
  <c r="H1200" i="24"/>
  <c r="H1201" i="24"/>
  <c r="H1202" i="24"/>
  <c r="H1203" i="24"/>
  <c r="H1204" i="24"/>
  <c r="H1205" i="24"/>
  <c r="H1206" i="24"/>
  <c r="H1207" i="24"/>
  <c r="H1208" i="24"/>
  <c r="H1209" i="24"/>
  <c r="H1210" i="24"/>
  <c r="H1211" i="24"/>
  <c r="H1212" i="24"/>
  <c r="H1213" i="24"/>
  <c r="H1214" i="24"/>
  <c r="H1215" i="24"/>
  <c r="H1216" i="24"/>
  <c r="H1217" i="24"/>
  <c r="H1218" i="24"/>
  <c r="H1219" i="24"/>
  <c r="H1220" i="24"/>
  <c r="H1221" i="24"/>
  <c r="H1222" i="24"/>
  <c r="H1223" i="24"/>
  <c r="H1224" i="24"/>
  <c r="H1225" i="24"/>
  <c r="H1226" i="24"/>
  <c r="H1227" i="24"/>
  <c r="H1228" i="24"/>
  <c r="H1229" i="24"/>
  <c r="H1230" i="24"/>
  <c r="H1231" i="24"/>
  <c r="H1232" i="24"/>
  <c r="H1233" i="24"/>
  <c r="H1234" i="24"/>
  <c r="H1235" i="24"/>
  <c r="H1236" i="24"/>
  <c r="H1237" i="24"/>
  <c r="H1238" i="24"/>
  <c r="H1239" i="24"/>
  <c r="H1240" i="24"/>
  <c r="H1241" i="24"/>
  <c r="H1242" i="24"/>
  <c r="H1243" i="24"/>
  <c r="H1244" i="24"/>
  <c r="H1245" i="24"/>
  <c r="H1246" i="24"/>
  <c r="H1247" i="24"/>
  <c r="H1248" i="24"/>
  <c r="H1249" i="24"/>
  <c r="H1250" i="24"/>
  <c r="H1251" i="24"/>
  <c r="H1252" i="24"/>
  <c r="H1253" i="24"/>
  <c r="H1254" i="24"/>
  <c r="H1255" i="24"/>
  <c r="H1256" i="24"/>
  <c r="H1257" i="24"/>
  <c r="H1258" i="24"/>
  <c r="H1259" i="24"/>
  <c r="H1260" i="24"/>
  <c r="H1261" i="24"/>
  <c r="H1262" i="24"/>
  <c r="H1263" i="24"/>
  <c r="H1265" i="24"/>
  <c r="H1267" i="24"/>
  <c r="H1268" i="24"/>
  <c r="H1269" i="24"/>
  <c r="H1270" i="24"/>
  <c r="H1271" i="24"/>
  <c r="H1272" i="24"/>
  <c r="H1273" i="24"/>
  <c r="H1274" i="24"/>
  <c r="H1275" i="24"/>
  <c r="H1276" i="24"/>
  <c r="H1277" i="24"/>
  <c r="H1278" i="24"/>
  <c r="H1279" i="24"/>
  <c r="H1280" i="24"/>
  <c r="H1281" i="24"/>
  <c r="H1282" i="24"/>
  <c r="H1283" i="24"/>
  <c r="H1284" i="24"/>
  <c r="H1285" i="24"/>
  <c r="H1286" i="24"/>
  <c r="H1287" i="24"/>
  <c r="H1288" i="24"/>
  <c r="H1289" i="24"/>
  <c r="H1290" i="24"/>
  <c r="H1291" i="24"/>
  <c r="H1292" i="24"/>
  <c r="H1293" i="24"/>
  <c r="H1294" i="24"/>
  <c r="H1295" i="24"/>
  <c r="H1296" i="24"/>
  <c r="H1297" i="24"/>
  <c r="H1298" i="24"/>
  <c r="H1299" i="24"/>
  <c r="H1300" i="24"/>
  <c r="H1301" i="24"/>
  <c r="H1302" i="24"/>
  <c r="H1303" i="24"/>
  <c r="H1304" i="24"/>
  <c r="H1305" i="24"/>
  <c r="H1306" i="24"/>
  <c r="H1307" i="24"/>
  <c r="H1308" i="24"/>
  <c r="H1309" i="24"/>
  <c r="H1310" i="24"/>
  <c r="H1311" i="24"/>
  <c r="H1312" i="24"/>
  <c r="H1313" i="24"/>
  <c r="H1314" i="24"/>
  <c r="H1315" i="24"/>
  <c r="H1316" i="24"/>
  <c r="H1317" i="24"/>
  <c r="H1318" i="24"/>
  <c r="H1319" i="24"/>
  <c r="H1320" i="24"/>
  <c r="H1321" i="24"/>
  <c r="H1322" i="24"/>
  <c r="H1323" i="24"/>
  <c r="H1324" i="24"/>
  <c r="H1325" i="24"/>
  <c r="H1326" i="24"/>
  <c r="H1327" i="24"/>
  <c r="H1328" i="24"/>
  <c r="H1329" i="24"/>
  <c r="H1330" i="24"/>
  <c r="H1331" i="24"/>
  <c r="H1332" i="24"/>
  <c r="H1333" i="24"/>
  <c r="H1334" i="24"/>
  <c r="H1335" i="24"/>
  <c r="H1336" i="24"/>
  <c r="H1337" i="24"/>
  <c r="H1338" i="24"/>
  <c r="H1339" i="24"/>
  <c r="H1340" i="24"/>
  <c r="H1341" i="24"/>
  <c r="H1342" i="24"/>
  <c r="H1343" i="24"/>
  <c r="H1344" i="24"/>
  <c r="H1345" i="24"/>
  <c r="H1346" i="24"/>
  <c r="H1347" i="24"/>
  <c r="H1348" i="24"/>
  <c r="H1349" i="24"/>
  <c r="H1350" i="24"/>
  <c r="H1351" i="24"/>
  <c r="H1352" i="24"/>
  <c r="H1353" i="24"/>
  <c r="H1354" i="24"/>
  <c r="H1355" i="24"/>
  <c r="H1356" i="24"/>
  <c r="H1357" i="24"/>
  <c r="H1358" i="24"/>
  <c r="H1359" i="24"/>
  <c r="H1360" i="24"/>
  <c r="H1361" i="24"/>
  <c r="H1362" i="24"/>
  <c r="H1363" i="24"/>
  <c r="H1364" i="24"/>
  <c r="H1365" i="24"/>
  <c r="H1366" i="24"/>
  <c r="H1367" i="24"/>
  <c r="H1368" i="24"/>
  <c r="H1369" i="24"/>
  <c r="H1370" i="24"/>
  <c r="H1371" i="24"/>
  <c r="H1372" i="24"/>
  <c r="H1373" i="24"/>
  <c r="H1374" i="24"/>
  <c r="H1375" i="24"/>
  <c r="H1376" i="24"/>
  <c r="H1377" i="24"/>
  <c r="H1378" i="24"/>
  <c r="H1379" i="24"/>
  <c r="H1380" i="24"/>
  <c r="H1381" i="24"/>
  <c r="H1382" i="24"/>
  <c r="H1383" i="24"/>
  <c r="H1384" i="24"/>
  <c r="H1385" i="24"/>
  <c r="H1387" i="24"/>
  <c r="H1388" i="24"/>
  <c r="H1389" i="24"/>
  <c r="H1390" i="24"/>
  <c r="H1391" i="24"/>
  <c r="H1392" i="24"/>
  <c r="H1393" i="24"/>
  <c r="H1394" i="24"/>
  <c r="H1395" i="24"/>
  <c r="H1396" i="24"/>
  <c r="H1397" i="24"/>
  <c r="H1398" i="24"/>
  <c r="H1399" i="24"/>
  <c r="H1400" i="24"/>
  <c r="H1401" i="24"/>
  <c r="H1402" i="24"/>
  <c r="H1403" i="24"/>
  <c r="H1404" i="24"/>
  <c r="H1405" i="24"/>
  <c r="H1406" i="24"/>
  <c r="H1407" i="24"/>
  <c r="H1408" i="24"/>
  <c r="H1409" i="24"/>
  <c r="H1410" i="24"/>
  <c r="H1411" i="24"/>
  <c r="H1412" i="24"/>
  <c r="H1413" i="24"/>
  <c r="H1414" i="24"/>
  <c r="H1415" i="24"/>
  <c r="H1416" i="24"/>
  <c r="H1417" i="24"/>
  <c r="H1418" i="24"/>
  <c r="H1419" i="24"/>
  <c r="H1420" i="24"/>
  <c r="H1421" i="24"/>
  <c r="H1422" i="24"/>
  <c r="H1423" i="24"/>
  <c r="H1424" i="24"/>
  <c r="H1425" i="24"/>
  <c r="H1426" i="24"/>
  <c r="H1427" i="24"/>
  <c r="H1428" i="24"/>
  <c r="H1429" i="24"/>
  <c r="H1430" i="24"/>
  <c r="H1431" i="24"/>
  <c r="H1432" i="24"/>
  <c r="H1433" i="24"/>
  <c r="H1434" i="24"/>
  <c r="H1435" i="24"/>
  <c r="H1436" i="24"/>
  <c r="H1437" i="24"/>
  <c r="H1438" i="24"/>
  <c r="H1439" i="24"/>
  <c r="H1440" i="24"/>
  <c r="H1441" i="24"/>
  <c r="H1442" i="24"/>
  <c r="H1443" i="24"/>
  <c r="H1444" i="24"/>
  <c r="H1445" i="24"/>
  <c r="H1446" i="24"/>
  <c r="H1447" i="24"/>
  <c r="H1448" i="24"/>
  <c r="H1449" i="24"/>
  <c r="H1450" i="24"/>
  <c r="H1451" i="24"/>
  <c r="H1452" i="24"/>
  <c r="H1453" i="24"/>
  <c r="H1454" i="24"/>
  <c r="H1455" i="24"/>
  <c r="H1457" i="24"/>
  <c r="H1458" i="24"/>
  <c r="H1459" i="24"/>
  <c r="H1460" i="24"/>
  <c r="H1461" i="24"/>
  <c r="H1462" i="24"/>
  <c r="H1463" i="24"/>
  <c r="H1464" i="24"/>
  <c r="H1465" i="24"/>
  <c r="H1466" i="24"/>
  <c r="H1467" i="24"/>
  <c r="H1468" i="24"/>
  <c r="H1469" i="24"/>
  <c r="H1470" i="24"/>
  <c r="H1471" i="24"/>
  <c r="H1472" i="24"/>
  <c r="H1473" i="24"/>
  <c r="H1474" i="24"/>
  <c r="H1475" i="24"/>
  <c r="H1476" i="24"/>
  <c r="H1477" i="24"/>
  <c r="H1478" i="24"/>
  <c r="H1479" i="24"/>
  <c r="H1480" i="24"/>
  <c r="H1481" i="24"/>
  <c r="H1482" i="24"/>
  <c r="H1483" i="24"/>
  <c r="H1484" i="24"/>
  <c r="H1485" i="24"/>
  <c r="H1486" i="24"/>
  <c r="H1487" i="24"/>
  <c r="H1488" i="24"/>
  <c r="H1489" i="24"/>
  <c r="H1490" i="24"/>
  <c r="H1491" i="24"/>
  <c r="H1492" i="24"/>
  <c r="H1493" i="24"/>
  <c r="H1494" i="24"/>
  <c r="H1495" i="24"/>
  <c r="H1496" i="24"/>
  <c r="H1497" i="24"/>
  <c r="H1498" i="24"/>
  <c r="H1499" i="24"/>
  <c r="H1500" i="24"/>
  <c r="H1501" i="24"/>
  <c r="H1502" i="24"/>
  <c r="H1503" i="24"/>
  <c r="H1504" i="24"/>
  <c r="H1505" i="24"/>
  <c r="H1506" i="24"/>
  <c r="H1507" i="24"/>
  <c r="H1508" i="24"/>
  <c r="H1509" i="24"/>
  <c r="H1510" i="24"/>
  <c r="H1511" i="24"/>
  <c r="H1512" i="24"/>
  <c r="H1513" i="24"/>
  <c r="H1514" i="24"/>
  <c r="H1515" i="24"/>
  <c r="H1516" i="24"/>
  <c r="H1517" i="24"/>
  <c r="H1518" i="24"/>
  <c r="H1519" i="24"/>
  <c r="H1520" i="24"/>
  <c r="H1521" i="24"/>
  <c r="H1522" i="24"/>
  <c r="H1523" i="24"/>
  <c r="H1524" i="24"/>
  <c r="H1525" i="24"/>
  <c r="H1526" i="24"/>
  <c r="H1527" i="24"/>
  <c r="H1528" i="24"/>
  <c r="H1529" i="24"/>
  <c r="H1530" i="24"/>
  <c r="H1531" i="24"/>
  <c r="H1532" i="24"/>
  <c r="H1533" i="24"/>
  <c r="H1535" i="24"/>
  <c r="H1537" i="24"/>
  <c r="H1538" i="24"/>
  <c r="H1539" i="24"/>
  <c r="H1541" i="24"/>
  <c r="H1542" i="24"/>
  <c r="H1543" i="24"/>
  <c r="H1544" i="24"/>
  <c r="H1545" i="24"/>
  <c r="H1546" i="24"/>
  <c r="H1547" i="24"/>
  <c r="H1548" i="24"/>
  <c r="H1549" i="24"/>
  <c r="H1550" i="24"/>
  <c r="H1551" i="24"/>
  <c r="H1552" i="24"/>
  <c r="H1553" i="24"/>
  <c r="H1554" i="24"/>
  <c r="H1555" i="24"/>
  <c r="H1556" i="24"/>
  <c r="H1557" i="24"/>
  <c r="H1558" i="24"/>
  <c r="H1559" i="24"/>
  <c r="H1560" i="24"/>
  <c r="H1561" i="24"/>
  <c r="H1562" i="24"/>
  <c r="H1563" i="24"/>
  <c r="H1564" i="24"/>
  <c r="H1565" i="24"/>
  <c r="H1566" i="24"/>
  <c r="H1567" i="24"/>
  <c r="H1568" i="24"/>
  <c r="H1569" i="24"/>
  <c r="H1570" i="24"/>
  <c r="H1571" i="24"/>
  <c r="H1572" i="24"/>
  <c r="H1573" i="24"/>
  <c r="H1574" i="24"/>
  <c r="H1575" i="24"/>
  <c r="H1576" i="24"/>
  <c r="H1577" i="24"/>
  <c r="H1578" i="24"/>
  <c r="H1579" i="24"/>
  <c r="H1580" i="24"/>
  <c r="H1581" i="24"/>
  <c r="H1582" i="24"/>
  <c r="H1584" i="24"/>
  <c r="H1586" i="24"/>
  <c r="H1587" i="24"/>
  <c r="H1588" i="24"/>
  <c r="H1589" i="24"/>
  <c r="H1590" i="24"/>
  <c r="H1591" i="24"/>
  <c r="H1592" i="24"/>
  <c r="H1593" i="24"/>
  <c r="H1594" i="24"/>
  <c r="H1595" i="24"/>
  <c r="H1596" i="24"/>
  <c r="H1597" i="24"/>
  <c r="H1598" i="24"/>
  <c r="H1599" i="24"/>
  <c r="H1600" i="24"/>
  <c r="H1601" i="24"/>
  <c r="H1602" i="24"/>
  <c r="H1603" i="24"/>
  <c r="H1604" i="24"/>
  <c r="H1605" i="24"/>
  <c r="H1606" i="24"/>
  <c r="H1607" i="24"/>
  <c r="H1608" i="24"/>
  <c r="H1609" i="24"/>
  <c r="H1610" i="24"/>
  <c r="H1611" i="24"/>
  <c r="H1612" i="24"/>
  <c r="H1613" i="24"/>
  <c r="H1614" i="24"/>
  <c r="H1615" i="24"/>
  <c r="H1616" i="24"/>
  <c r="H1617" i="24"/>
  <c r="H1618" i="24"/>
  <c r="H1619" i="24"/>
  <c r="H1620" i="24"/>
  <c r="H1621" i="24"/>
  <c r="H1622" i="24"/>
  <c r="H1623" i="24"/>
  <c r="H1624" i="24"/>
  <c r="H1625" i="24"/>
  <c r="H1626" i="24"/>
  <c r="H1627" i="24"/>
  <c r="H1628" i="24"/>
  <c r="H1629" i="24"/>
  <c r="H1630" i="24"/>
  <c r="H1631" i="24"/>
  <c r="H1632" i="24"/>
  <c r="H1633" i="24"/>
  <c r="H1634" i="24"/>
  <c r="H1635" i="24"/>
  <c r="H1636" i="24"/>
  <c r="H1637" i="24"/>
  <c r="H1638" i="24"/>
  <c r="H1639" i="24"/>
  <c r="H1640" i="24"/>
  <c r="H1641" i="24"/>
  <c r="H1642" i="24"/>
  <c r="H1643" i="24"/>
  <c r="H1644" i="24"/>
  <c r="H1645" i="24"/>
  <c r="H1646" i="24"/>
  <c r="H1647" i="24"/>
  <c r="H1648" i="24"/>
  <c r="H1649" i="24"/>
  <c r="H1650" i="24"/>
  <c r="H1651" i="24"/>
  <c r="H1652" i="24"/>
  <c r="H1653" i="24"/>
  <c r="H1654" i="24"/>
  <c r="H1655" i="24"/>
  <c r="H1656" i="24"/>
  <c r="H1657" i="24"/>
  <c r="H1658" i="24"/>
  <c r="H1659" i="24"/>
  <c r="H1660" i="24"/>
  <c r="H1661" i="24"/>
  <c r="H1662" i="24"/>
  <c r="H1663" i="24"/>
  <c r="H1664" i="24"/>
  <c r="H1665" i="24"/>
  <c r="H1666" i="24"/>
  <c r="H1667" i="24"/>
  <c r="H1668" i="24"/>
  <c r="H1669" i="24"/>
  <c r="H1670" i="24"/>
  <c r="H1671" i="24"/>
  <c r="H1672" i="24"/>
  <c r="H1673" i="24"/>
  <c r="H1674" i="24"/>
  <c r="H1675" i="24"/>
  <c r="H1676" i="24"/>
  <c r="H1677" i="24"/>
  <c r="H1678" i="24"/>
  <c r="H1679" i="24"/>
  <c r="H1680" i="24"/>
  <c r="H1681" i="24"/>
  <c r="H1682" i="24"/>
  <c r="H1683" i="24"/>
  <c r="H1684" i="24"/>
  <c r="H1685" i="24"/>
  <c r="H1686" i="24"/>
  <c r="H1687" i="24"/>
  <c r="H1688" i="24"/>
  <c r="H1689" i="24"/>
  <c r="H1690" i="24"/>
  <c r="H1691" i="24"/>
  <c r="H1692" i="24"/>
  <c r="H1693" i="24"/>
  <c r="H1694" i="24"/>
  <c r="H1695" i="24"/>
  <c r="H1696" i="24"/>
  <c r="H1697" i="24"/>
  <c r="H1698" i="24"/>
  <c r="H1699" i="24"/>
  <c r="H1700" i="24"/>
  <c r="H1701" i="24"/>
  <c r="H1702" i="24"/>
  <c r="H1703" i="24"/>
  <c r="H1704" i="24"/>
  <c r="H1705" i="24"/>
  <c r="H1706" i="24"/>
  <c r="H1707" i="24"/>
  <c r="H1708" i="24"/>
  <c r="H1709" i="24"/>
  <c r="H1710" i="24"/>
  <c r="H1711" i="24"/>
  <c r="H1712" i="24"/>
  <c r="H1713" i="24"/>
  <c r="H1714" i="24"/>
  <c r="H1715" i="24"/>
  <c r="H1716" i="24"/>
  <c r="H1717" i="24"/>
  <c r="H1718" i="24"/>
  <c r="H1719" i="24"/>
  <c r="H1720" i="24"/>
  <c r="H1721" i="24"/>
  <c r="H1722" i="24"/>
  <c r="H1723" i="24"/>
  <c r="H1724" i="24"/>
  <c r="H1725" i="24"/>
  <c r="H1726" i="24"/>
  <c r="H1727" i="24"/>
  <c r="H1728" i="24"/>
  <c r="H1729" i="24"/>
  <c r="H1730" i="24"/>
  <c r="H1731" i="24"/>
  <c r="H1732" i="24"/>
  <c r="H1733" i="24"/>
  <c r="H1734" i="24"/>
  <c r="H1735" i="24"/>
  <c r="H1736" i="24"/>
  <c r="H1737" i="24"/>
  <c r="H1738" i="24"/>
  <c r="H1739" i="24"/>
  <c r="H1740" i="24"/>
  <c r="H1741" i="24"/>
  <c r="H1742" i="24"/>
  <c r="H1743" i="24"/>
  <c r="H1744" i="24"/>
  <c r="H1745" i="24"/>
  <c r="H1746" i="24"/>
  <c r="H1747" i="24"/>
  <c r="H1748" i="24"/>
  <c r="H1749" i="24"/>
  <c r="H1750" i="24"/>
  <c r="H1751" i="24"/>
  <c r="H1752" i="24"/>
  <c r="H1753" i="24"/>
  <c r="H1754" i="24"/>
  <c r="H1755" i="24"/>
  <c r="H1756" i="24"/>
  <c r="H1757" i="24"/>
  <c r="H1758" i="24"/>
  <c r="H1759" i="24"/>
  <c r="H1760" i="24"/>
  <c r="H1761" i="24"/>
  <c r="H1762" i="24"/>
  <c r="H1763" i="24"/>
  <c r="H1764" i="24"/>
  <c r="H1765" i="24"/>
  <c r="H1766" i="24"/>
  <c r="H1767" i="24"/>
  <c r="H1768" i="24"/>
  <c r="H1769" i="24"/>
  <c r="H1770" i="24"/>
  <c r="H1771" i="24"/>
  <c r="H1772" i="24"/>
  <c r="H1773" i="24"/>
  <c r="H1774" i="24"/>
  <c r="H1775" i="24"/>
  <c r="H1776" i="24"/>
  <c r="H1777" i="24"/>
  <c r="H1778" i="24"/>
  <c r="H1779" i="24"/>
  <c r="H1781" i="24"/>
  <c r="H1782" i="24"/>
  <c r="H1783" i="24"/>
  <c r="H1784" i="24"/>
  <c r="H1785" i="24"/>
  <c r="H1786" i="24"/>
  <c r="H1787" i="24"/>
  <c r="H1788" i="24"/>
  <c r="H1789" i="24"/>
  <c r="H1790" i="24"/>
  <c r="H1791" i="24"/>
  <c r="H1792" i="24"/>
  <c r="H1793" i="24"/>
  <c r="H1794" i="24"/>
  <c r="H1795" i="24"/>
  <c r="H1796" i="24"/>
  <c r="H1797" i="24"/>
  <c r="H1798" i="24"/>
  <c r="H1799" i="24"/>
  <c r="H1800" i="24"/>
  <c r="H1801" i="24"/>
  <c r="H1802" i="24"/>
  <c r="H1803" i="24"/>
  <c r="H1804" i="24"/>
  <c r="H1805" i="24"/>
  <c r="H1806" i="24"/>
  <c r="H1807" i="24"/>
  <c r="H1808" i="24"/>
  <c r="H1809" i="24"/>
  <c r="H1810" i="24"/>
  <c r="H1811" i="24"/>
  <c r="H1812" i="24"/>
  <c r="H1813" i="24"/>
  <c r="H1814" i="24"/>
  <c r="H1815" i="24"/>
  <c r="H1816" i="24"/>
  <c r="H1817" i="24"/>
  <c r="H1818" i="24"/>
  <c r="H1819" i="24"/>
  <c r="H1820" i="24"/>
  <c r="H1821" i="24"/>
  <c r="H1822" i="24"/>
  <c r="H1823" i="24"/>
  <c r="H1824" i="24"/>
  <c r="H1825" i="24"/>
  <c r="H1826" i="24"/>
  <c r="H1827" i="24"/>
  <c r="H1828" i="24"/>
  <c r="H1829" i="24"/>
  <c r="H1830" i="24"/>
  <c r="H1831" i="24"/>
  <c r="H1832" i="24"/>
  <c r="H1833" i="24"/>
  <c r="H1834" i="24"/>
  <c r="H1835" i="24"/>
  <c r="H1836" i="24"/>
  <c r="H1837" i="24"/>
  <c r="H1838" i="24"/>
  <c r="H1839" i="24"/>
  <c r="H1840" i="24"/>
  <c r="H1841" i="24"/>
  <c r="H1842" i="24"/>
  <c r="H1843" i="24"/>
  <c r="H1844" i="24"/>
  <c r="H1845" i="24"/>
  <c r="H1846" i="24"/>
  <c r="H1847" i="24"/>
  <c r="H1848" i="24"/>
  <c r="H1849" i="24"/>
  <c r="H1850" i="24"/>
  <c r="H1851" i="24"/>
  <c r="H1852" i="24"/>
  <c r="H1853" i="24"/>
  <c r="H1854" i="24"/>
  <c r="H1855" i="24"/>
  <c r="H1856" i="24"/>
  <c r="H1857" i="24"/>
  <c r="H1858" i="24"/>
  <c r="H1859" i="24"/>
  <c r="H1860" i="24"/>
  <c r="H1861" i="24"/>
  <c r="H1862" i="24"/>
  <c r="H1863" i="24"/>
  <c r="H1864" i="24"/>
  <c r="H1865" i="24"/>
  <c r="H1866" i="24"/>
  <c r="H1867" i="24"/>
  <c r="H1868" i="24"/>
  <c r="H1869" i="24"/>
  <c r="H1870" i="24"/>
  <c r="H1871" i="24"/>
  <c r="H1872" i="24"/>
  <c r="H1873" i="24"/>
  <c r="H1874" i="24"/>
  <c r="H1876" i="24"/>
  <c r="H1877" i="24"/>
  <c r="H1878" i="24"/>
  <c r="H1879" i="24"/>
  <c r="H1880" i="24"/>
  <c r="H1881" i="24"/>
  <c r="H1882" i="24"/>
  <c r="H1883" i="24"/>
  <c r="H1884" i="24"/>
  <c r="H1885" i="24"/>
  <c r="H1886" i="24"/>
  <c r="H1887" i="24"/>
  <c r="H1888" i="24"/>
  <c r="H1889" i="24"/>
  <c r="H1890" i="24"/>
  <c r="H1891" i="24"/>
  <c r="H1892" i="24"/>
  <c r="H1893" i="24"/>
  <c r="H1894" i="24"/>
  <c r="H1895" i="24"/>
  <c r="H1896" i="24"/>
  <c r="H1897" i="24"/>
  <c r="H1898" i="24"/>
  <c r="H1899" i="24"/>
  <c r="H1900" i="24"/>
  <c r="H1901" i="24"/>
  <c r="H1902" i="24"/>
  <c r="H1903" i="24"/>
  <c r="H1904" i="24"/>
  <c r="H1905" i="24"/>
  <c r="H1906" i="24"/>
  <c r="H1907" i="24"/>
  <c r="H1908" i="24"/>
  <c r="H1909" i="24"/>
  <c r="H1910" i="24"/>
  <c r="H1911" i="24"/>
  <c r="H1912" i="24"/>
  <c r="H1913" i="24"/>
  <c r="H1914" i="24"/>
  <c r="H1915" i="24"/>
  <c r="H1916" i="24"/>
  <c r="H1917" i="24"/>
  <c r="H1918" i="24"/>
  <c r="H1919" i="24"/>
  <c r="H1920" i="24"/>
  <c r="H1921" i="24"/>
  <c r="H1922" i="24"/>
  <c r="H1923" i="24"/>
  <c r="H1924" i="24"/>
  <c r="H1925" i="24"/>
  <c r="H1926" i="24"/>
  <c r="H1927" i="24"/>
  <c r="H1928" i="24"/>
  <c r="H1929" i="24"/>
  <c r="H1930" i="24"/>
  <c r="H1931" i="24"/>
  <c r="H1932" i="24"/>
  <c r="H1933" i="24"/>
  <c r="H1934" i="24"/>
  <c r="H1935" i="24"/>
  <c r="H1936" i="24"/>
  <c r="H1937" i="24"/>
  <c r="H1938" i="24"/>
  <c r="H1939" i="24"/>
  <c r="H1940" i="24"/>
  <c r="H1941" i="24"/>
  <c r="H1942" i="24"/>
  <c r="H1943" i="24"/>
  <c r="H1944" i="24"/>
  <c r="H1945" i="24"/>
  <c r="H1946" i="24"/>
  <c r="H1947" i="24"/>
  <c r="H1948" i="24"/>
  <c r="H1949" i="24"/>
  <c r="H1950" i="24"/>
  <c r="H1951" i="24"/>
  <c r="H1952" i="24"/>
  <c r="H1953" i="24"/>
  <c r="H1954" i="24"/>
  <c r="H1955" i="24"/>
  <c r="H1956" i="24"/>
  <c r="H1957" i="24"/>
  <c r="H1958" i="24"/>
  <c r="H1959" i="24"/>
  <c r="H1960" i="24"/>
  <c r="H1961" i="24"/>
  <c r="H1962" i="24"/>
  <c r="H1963" i="24"/>
  <c r="H1964" i="24"/>
  <c r="H1965" i="24"/>
  <c r="H1966" i="24"/>
  <c r="H1967" i="24"/>
  <c r="H1968" i="24"/>
  <c r="H1970" i="24"/>
  <c r="H1972" i="24"/>
  <c r="H1973" i="24"/>
  <c r="H1974" i="24"/>
  <c r="H1975" i="24"/>
  <c r="H1976" i="24"/>
  <c r="H1977" i="24"/>
  <c r="H1978" i="24"/>
  <c r="H1979" i="24"/>
  <c r="H1980" i="24"/>
  <c r="H1981" i="24"/>
  <c r="H1982" i="24"/>
  <c r="H1983" i="24"/>
  <c r="H1984" i="24"/>
  <c r="H1985" i="24"/>
  <c r="H1986" i="24"/>
  <c r="H1987" i="24"/>
  <c r="H1988" i="24"/>
  <c r="H1989" i="24"/>
  <c r="H1990" i="24"/>
  <c r="H1991" i="24"/>
  <c r="H1992" i="24"/>
  <c r="H1993" i="24"/>
  <c r="H1994" i="24"/>
  <c r="H1995" i="24"/>
  <c r="H1996" i="24"/>
  <c r="H1997" i="24"/>
  <c r="H1998" i="24"/>
  <c r="H1999" i="24"/>
  <c r="H2000" i="24"/>
  <c r="H2001" i="24"/>
  <c r="H2002" i="24"/>
  <c r="H2003" i="24"/>
  <c r="H2004" i="24"/>
  <c r="H2005" i="24"/>
  <c r="H2006" i="24"/>
  <c r="H2007" i="24"/>
  <c r="H2008" i="24"/>
  <c r="H2009" i="24"/>
  <c r="H2010" i="24"/>
  <c r="H2011" i="24"/>
  <c r="H2012" i="24"/>
  <c r="H2013" i="24"/>
  <c r="H2014" i="24"/>
  <c r="H2015" i="24"/>
  <c r="H2016" i="24"/>
  <c r="H2017" i="24"/>
  <c r="H2018" i="24"/>
  <c r="H2019" i="24"/>
  <c r="H2020" i="24"/>
  <c r="H2021" i="24"/>
  <c r="H2022" i="24"/>
  <c r="H2023" i="24"/>
  <c r="H2024" i="24"/>
  <c r="H2025" i="24"/>
  <c r="H2026" i="24"/>
  <c r="H2027" i="24"/>
  <c r="H2028" i="24"/>
  <c r="H2029" i="24"/>
  <c r="H2030" i="24"/>
  <c r="H2031" i="24"/>
  <c r="H2032" i="24"/>
  <c r="H2033" i="24"/>
  <c r="H2034" i="24"/>
  <c r="H2035" i="24"/>
  <c r="H2036" i="24"/>
  <c r="H2037" i="24"/>
  <c r="H2038" i="24"/>
  <c r="H2039" i="24"/>
  <c r="H2040" i="24"/>
  <c r="H2041" i="24"/>
  <c r="H2042" i="24"/>
  <c r="H2043" i="24"/>
  <c r="H2044" i="24"/>
  <c r="H2045" i="24"/>
  <c r="H2047" i="24"/>
  <c r="H2048" i="24"/>
  <c r="H2049" i="24"/>
  <c r="H2050" i="24"/>
  <c r="H2051" i="24"/>
  <c r="H2052" i="24"/>
  <c r="H2053" i="24"/>
  <c r="H2055" i="24"/>
  <c r="H2056" i="24"/>
  <c r="H2057" i="24"/>
  <c r="H2058" i="24"/>
  <c r="H2059" i="24"/>
  <c r="H2060" i="24"/>
  <c r="H2061" i="24"/>
  <c r="H2062" i="24"/>
  <c r="H2063" i="24"/>
  <c r="H2064" i="24"/>
  <c r="H2065" i="24"/>
  <c r="H2066" i="24"/>
  <c r="H2067" i="24"/>
  <c r="H2069" i="24"/>
  <c r="H2070" i="24"/>
  <c r="H2071" i="24"/>
  <c r="H2072" i="24"/>
  <c r="H2073" i="24"/>
  <c r="H2074" i="24"/>
  <c r="H2075" i="24"/>
  <c r="H2076" i="24"/>
  <c r="H2077" i="24"/>
  <c r="H2078" i="24"/>
  <c r="H2079" i="24"/>
  <c r="H2080" i="24"/>
  <c r="H2081" i="24"/>
  <c r="H2082" i="24"/>
  <c r="H2083" i="24"/>
  <c r="H2084" i="24"/>
  <c r="H2085" i="24"/>
  <c r="H2086" i="24"/>
  <c r="H2087" i="24"/>
  <c r="H2088" i="24"/>
  <c r="H2089" i="24"/>
  <c r="H2090" i="24"/>
  <c r="H2091" i="24"/>
  <c r="H2092" i="24"/>
  <c r="H2093" i="24"/>
  <c r="H2094" i="24"/>
  <c r="H2095" i="24"/>
  <c r="H2096" i="24"/>
  <c r="H2097" i="24"/>
  <c r="H2098" i="24"/>
  <c r="H2099" i="24"/>
  <c r="H2100" i="24"/>
  <c r="H2101" i="24"/>
  <c r="H2102" i="24"/>
  <c r="H2103" i="24"/>
  <c r="H2104" i="24"/>
  <c r="H2105" i="24"/>
  <c r="H2106" i="24"/>
  <c r="H2107" i="24"/>
  <c r="H2108" i="24"/>
  <c r="H2109" i="24"/>
  <c r="H2110" i="24"/>
  <c r="H2111" i="24"/>
  <c r="H2112" i="24"/>
  <c r="H2113" i="24"/>
  <c r="H2114" i="24"/>
  <c r="H2115" i="24"/>
  <c r="H2116" i="24"/>
  <c r="H2117" i="24"/>
  <c r="H2118" i="24"/>
  <c r="H2119" i="24"/>
  <c r="H2120" i="24"/>
  <c r="H2121" i="24"/>
  <c r="H2122" i="24"/>
  <c r="H2123" i="24"/>
  <c r="H2124" i="24"/>
  <c r="H2125" i="24"/>
  <c r="H2126" i="24"/>
  <c r="H2127" i="24"/>
  <c r="H2128" i="24"/>
  <c r="H2129" i="24"/>
  <c r="H2130" i="24"/>
  <c r="H2131" i="24"/>
  <c r="H2133" i="24"/>
  <c r="H2134" i="24"/>
  <c r="H2135" i="24"/>
  <c r="H2136" i="24"/>
  <c r="H2137" i="24"/>
  <c r="H2138" i="24"/>
  <c r="H2139" i="24"/>
  <c r="H2140" i="24"/>
  <c r="H2141" i="24"/>
  <c r="H2142" i="24"/>
  <c r="H2143" i="24"/>
  <c r="H2144" i="24"/>
  <c r="H2145" i="24"/>
  <c r="H2146" i="24"/>
  <c r="H2147" i="24"/>
  <c r="H2148" i="24"/>
  <c r="H2149" i="24"/>
  <c r="H2150" i="24"/>
  <c r="H2151" i="24"/>
  <c r="H2152" i="24"/>
  <c r="H2153" i="24"/>
  <c r="H2154" i="24"/>
  <c r="H2155" i="24"/>
  <c r="H2156" i="24"/>
  <c r="H2157" i="24"/>
  <c r="H2158" i="24"/>
  <c r="H2159" i="24"/>
  <c r="H2160" i="24"/>
  <c r="H2161" i="24"/>
  <c r="H2162" i="24"/>
  <c r="H2163" i="24"/>
  <c r="H2164" i="24"/>
  <c r="H2165" i="24"/>
  <c r="H2166" i="24"/>
  <c r="H2167" i="24"/>
  <c r="H2168" i="24"/>
  <c r="H2169" i="24"/>
  <c r="H2170" i="24"/>
  <c r="H2171" i="24"/>
  <c r="H2172" i="24"/>
  <c r="H2173" i="24"/>
  <c r="H2174" i="24"/>
  <c r="H2175" i="24"/>
  <c r="H2176" i="24"/>
  <c r="H2177" i="24"/>
  <c r="H2178" i="24"/>
  <c r="H2179" i="24"/>
  <c r="H2180" i="24"/>
  <c r="H2181" i="24"/>
  <c r="H2182" i="24"/>
  <c r="H2183" i="24"/>
  <c r="H2184" i="24"/>
  <c r="H2185" i="24"/>
  <c r="H2186" i="24"/>
  <c r="H2187" i="24"/>
  <c r="H2188" i="24"/>
  <c r="H2189" i="24"/>
  <c r="H2190" i="24"/>
  <c r="H2191" i="24"/>
  <c r="H2192" i="24"/>
  <c r="H2193" i="24"/>
  <c r="H2194" i="24"/>
  <c r="H2195" i="24"/>
  <c r="H2196" i="24"/>
  <c r="H2197" i="24"/>
  <c r="H2198" i="24"/>
  <c r="H2199" i="24"/>
  <c r="H2200" i="24"/>
  <c r="H2201" i="24"/>
  <c r="H2202" i="24"/>
  <c r="H2203" i="24"/>
  <c r="H2204" i="24"/>
  <c r="H2205" i="24"/>
  <c r="H2206" i="24"/>
  <c r="H2207" i="24"/>
  <c r="H2208" i="24"/>
  <c r="H2209" i="24"/>
  <c r="H2210" i="24"/>
  <c r="H2212" i="24"/>
  <c r="H2213" i="24"/>
  <c r="H2214" i="24"/>
  <c r="H2215" i="24"/>
  <c r="H2216" i="24"/>
  <c r="H2217" i="24"/>
  <c r="H2218" i="24"/>
  <c r="H2219" i="24"/>
  <c r="H2220" i="24"/>
  <c r="H2221" i="24"/>
  <c r="H2222" i="24"/>
  <c r="H2223" i="24"/>
  <c r="H2224" i="24"/>
  <c r="H2225" i="24"/>
  <c r="H2226" i="24"/>
  <c r="H2227" i="24"/>
  <c r="H2228" i="24"/>
  <c r="H2229" i="24"/>
  <c r="H2230" i="24"/>
  <c r="H2231" i="24"/>
  <c r="H2232" i="24"/>
  <c r="H2233" i="24"/>
  <c r="H2234" i="24"/>
  <c r="H2235" i="24"/>
  <c r="H2236" i="24"/>
  <c r="H2237" i="24"/>
  <c r="H2238" i="24"/>
  <c r="H2239" i="24"/>
  <c r="H2240" i="24"/>
  <c r="H2241" i="24"/>
  <c r="H2242" i="24"/>
  <c r="H2243" i="24"/>
  <c r="H2244" i="24"/>
  <c r="H2245" i="24"/>
  <c r="H2246" i="24"/>
  <c r="H2247" i="24"/>
  <c r="H2248" i="24"/>
  <c r="H2249" i="24"/>
  <c r="H2250" i="24"/>
  <c r="H2251" i="24"/>
  <c r="H2252" i="24"/>
  <c r="H2253" i="24"/>
  <c r="H2254" i="24"/>
  <c r="H2255" i="24"/>
  <c r="H2256" i="24"/>
  <c r="H2257" i="24"/>
  <c r="H2258" i="24"/>
  <c r="H2259" i="24"/>
  <c r="H2260" i="24"/>
  <c r="H2261" i="24"/>
  <c r="H2262" i="24"/>
  <c r="H2263" i="24"/>
  <c r="H2264" i="24"/>
  <c r="H2265" i="24"/>
  <c r="H2266" i="24"/>
  <c r="H2267" i="24"/>
  <c r="H2268" i="24"/>
  <c r="H2269" i="24"/>
  <c r="H2270" i="24"/>
  <c r="H2271" i="24"/>
  <c r="H2272" i="24"/>
  <c r="H2273" i="24"/>
  <c r="H2274" i="24"/>
  <c r="H2275" i="24"/>
  <c r="H2276" i="24"/>
  <c r="H2277" i="24"/>
  <c r="H2278" i="24"/>
  <c r="H2279" i="24"/>
  <c r="H2280" i="24"/>
  <c r="H2281" i="24"/>
  <c r="H2283" i="24"/>
  <c r="H2284" i="24"/>
  <c r="H2285" i="24"/>
  <c r="H2286" i="24"/>
  <c r="H2287" i="24"/>
  <c r="H2288" i="24"/>
  <c r="H2289" i="24"/>
  <c r="H2290" i="24"/>
  <c r="H2291" i="24"/>
  <c r="H2292" i="24"/>
  <c r="H2293" i="24"/>
  <c r="H2294" i="24"/>
  <c r="H2295" i="24"/>
  <c r="H2296" i="24"/>
  <c r="H2297" i="24"/>
  <c r="H2298" i="24"/>
  <c r="H2299" i="24"/>
  <c r="H2300" i="24"/>
  <c r="H2301" i="24"/>
  <c r="H2302" i="24"/>
  <c r="H2303" i="24"/>
  <c r="H2304" i="24"/>
  <c r="H2305" i="24"/>
  <c r="H2306" i="24"/>
  <c r="H2307" i="24"/>
  <c r="H2308" i="24"/>
  <c r="H2309" i="24"/>
  <c r="H2310" i="24"/>
  <c r="H2311" i="24"/>
  <c r="H2312" i="24"/>
  <c r="H2313" i="24"/>
  <c r="H2314" i="24"/>
  <c r="H2315" i="24"/>
  <c r="H2316" i="24"/>
  <c r="H2317" i="24"/>
  <c r="H2318" i="24"/>
  <c r="H2319" i="24"/>
  <c r="H2320" i="24"/>
  <c r="H2321" i="24"/>
  <c r="H2322" i="24"/>
  <c r="H2323" i="24"/>
  <c r="H2324" i="24"/>
  <c r="H2325" i="24"/>
  <c r="H2326" i="24"/>
  <c r="H2327" i="24"/>
  <c r="H2328" i="24"/>
  <c r="H2329" i="24"/>
  <c r="H2330" i="24"/>
  <c r="H2331" i="24"/>
  <c r="H2332" i="24"/>
  <c r="H2333" i="24"/>
  <c r="H2334" i="24"/>
  <c r="H2335" i="24"/>
  <c r="H2336" i="24"/>
  <c r="H2337" i="24"/>
  <c r="H2338" i="24"/>
  <c r="H2339" i="24"/>
  <c r="H2340" i="24"/>
  <c r="H2341" i="24"/>
  <c r="H2342" i="24"/>
  <c r="H2343" i="24"/>
  <c r="H2344" i="24"/>
  <c r="H2345" i="24"/>
  <c r="H2346" i="24"/>
  <c r="H2347" i="24"/>
  <c r="H2348" i="24"/>
  <c r="H2349" i="24"/>
  <c r="H2350" i="24"/>
  <c r="H2351" i="24"/>
  <c r="H2353" i="24"/>
  <c r="H2354" i="24"/>
  <c r="H2355" i="24"/>
  <c r="H2356" i="24"/>
  <c r="H2357" i="24"/>
  <c r="H2358" i="24"/>
  <c r="H2359" i="24"/>
  <c r="H2360" i="24"/>
  <c r="H2361" i="24"/>
  <c r="H2362" i="24"/>
  <c r="H2363" i="24"/>
  <c r="H2364" i="24"/>
  <c r="H2365" i="24"/>
  <c r="H2366" i="24"/>
  <c r="H2367" i="24"/>
  <c r="H2368" i="24"/>
  <c r="H2369" i="24"/>
  <c r="H2370" i="24"/>
  <c r="H2371" i="24"/>
  <c r="H2372" i="24"/>
  <c r="H2373" i="24"/>
  <c r="H2374" i="24"/>
  <c r="H2375" i="24"/>
  <c r="H2376" i="24"/>
  <c r="H2377" i="24"/>
  <c r="H2378" i="24"/>
  <c r="H2379" i="24"/>
  <c r="H2380" i="24"/>
  <c r="H2381" i="24"/>
  <c r="H2382" i="24"/>
  <c r="H2383" i="24"/>
  <c r="H2384" i="24"/>
  <c r="H2385" i="24"/>
  <c r="H2386" i="24"/>
  <c r="H2387" i="24"/>
  <c r="H2388" i="24"/>
  <c r="H2389" i="24"/>
  <c r="H2390" i="24"/>
  <c r="H2391" i="24"/>
  <c r="H2392" i="24"/>
  <c r="H2393" i="24"/>
  <c r="H2394" i="24"/>
  <c r="H2395" i="24"/>
  <c r="H2396" i="24"/>
  <c r="H2397" i="24"/>
  <c r="H2398" i="24"/>
  <c r="H2399" i="24"/>
  <c r="H2400" i="24"/>
  <c r="H2401" i="24"/>
  <c r="H2402" i="24"/>
  <c r="H2403" i="24"/>
  <c r="H2404" i="24"/>
  <c r="H2405" i="24"/>
  <c r="H2406" i="24"/>
  <c r="H2407" i="24"/>
  <c r="H2408" i="24"/>
  <c r="H2409" i="24"/>
  <c r="H2410" i="24"/>
  <c r="H2411" i="24"/>
  <c r="H2412" i="24"/>
  <c r="H2413" i="24"/>
  <c r="H2414" i="24"/>
  <c r="H2415" i="24"/>
  <c r="H2416" i="24"/>
  <c r="H2417" i="24"/>
  <c r="H2418" i="24"/>
  <c r="H2419" i="24"/>
  <c r="H2420" i="24"/>
  <c r="H2421" i="24"/>
  <c r="H2422" i="24"/>
  <c r="H2423" i="24"/>
  <c r="H2425" i="24"/>
  <c r="H2426" i="24"/>
  <c r="H2427" i="24"/>
  <c r="H2428" i="24"/>
  <c r="H2429" i="24"/>
  <c r="H2430" i="24"/>
  <c r="H2432" i="24"/>
  <c r="H2433" i="24"/>
  <c r="H2434" i="24"/>
  <c r="H2435" i="24"/>
  <c r="H2436" i="24"/>
  <c r="H2438" i="24"/>
  <c r="H2439" i="24"/>
  <c r="H2442" i="24"/>
  <c r="H2443" i="24"/>
  <c r="H2444" i="24"/>
  <c r="H2445" i="24"/>
  <c r="H2446" i="24"/>
  <c r="H2447" i="24"/>
  <c r="H2448" i="24"/>
  <c r="H2449" i="24"/>
  <c r="H2450" i="24"/>
  <c r="H2451" i="24"/>
  <c r="H2452" i="24"/>
  <c r="H2453" i="24"/>
  <c r="H2454" i="24"/>
  <c r="H2455" i="24"/>
  <c r="H2456" i="24"/>
  <c r="H2457" i="24"/>
  <c r="H2458" i="24"/>
  <c r="H2459" i="24"/>
  <c r="H2460" i="24"/>
  <c r="H2461" i="24"/>
  <c r="H2462" i="24"/>
  <c r="H2463" i="24"/>
  <c r="H2464" i="24"/>
  <c r="H2465" i="24"/>
  <c r="H2466" i="24"/>
  <c r="H2467" i="24"/>
  <c r="H2468" i="24"/>
  <c r="H2469" i="24"/>
  <c r="H2470" i="24"/>
  <c r="H2471" i="24"/>
  <c r="H2473" i="24"/>
  <c r="H2474" i="24"/>
  <c r="H2475" i="24"/>
  <c r="H2476" i="24"/>
  <c r="H2477" i="24"/>
  <c r="H2478" i="24"/>
  <c r="H2479" i="24"/>
  <c r="H2480" i="24"/>
  <c r="H2481" i="24"/>
  <c r="H2484" i="24"/>
  <c r="H2485" i="24"/>
  <c r="H2486" i="24"/>
  <c r="H2487" i="24"/>
  <c r="H2488" i="24"/>
  <c r="H2489" i="24"/>
  <c r="H2490" i="24"/>
  <c r="H2491" i="24"/>
  <c r="H2492" i="24"/>
  <c r="H2493" i="24"/>
  <c r="H2494" i="24"/>
  <c r="H2495" i="24"/>
  <c r="H2496" i="24"/>
  <c r="H2497" i="24"/>
  <c r="H2498" i="24"/>
  <c r="H2499" i="24"/>
  <c r="H2500" i="24"/>
  <c r="H2501" i="24"/>
  <c r="H2502" i="24"/>
  <c r="H2503" i="24"/>
  <c r="H2504" i="24"/>
  <c r="H2505" i="24"/>
  <c r="H2506" i="24"/>
  <c r="H2507" i="24"/>
  <c r="H2508" i="24"/>
  <c r="H2509" i="24"/>
  <c r="H2510" i="24"/>
  <c r="H2511" i="24"/>
  <c r="H2512" i="24"/>
  <c r="H2513" i="24"/>
  <c r="H2514" i="24"/>
  <c r="H2515" i="24"/>
  <c r="H2516" i="24"/>
  <c r="H2517" i="24"/>
  <c r="H2518" i="24"/>
  <c r="H2519" i="24"/>
  <c r="H2520" i="24"/>
  <c r="H2521" i="24"/>
  <c r="H2522" i="24"/>
  <c r="H2523" i="24"/>
  <c r="H2524" i="24"/>
  <c r="H2525" i="24"/>
  <c r="H2526" i="24"/>
  <c r="H2527" i="24"/>
  <c r="H2528" i="24"/>
  <c r="H2529" i="24"/>
  <c r="H2530" i="24"/>
  <c r="H2531" i="24"/>
  <c r="H2532" i="24"/>
  <c r="H2533" i="24"/>
  <c r="H2534" i="24"/>
  <c r="H2535" i="24"/>
  <c r="H2536" i="24"/>
  <c r="H2537" i="24"/>
  <c r="H2539" i="24"/>
  <c r="H2540" i="24"/>
  <c r="H2541" i="24"/>
  <c r="H2543" i="24"/>
  <c r="H2545" i="24"/>
  <c r="H2546" i="24"/>
  <c r="H2548" i="24"/>
  <c r="H2549" i="24"/>
  <c r="H2551" i="24"/>
  <c r="H2552" i="24"/>
  <c r="H2553" i="24"/>
  <c r="H2554" i="24"/>
  <c r="H2555" i="24"/>
  <c r="H2556" i="24"/>
  <c r="H2557" i="24"/>
  <c r="H2558" i="24"/>
  <c r="H2559" i="24"/>
  <c r="H2560" i="24"/>
  <c r="H2561" i="24"/>
  <c r="H2562" i="24"/>
  <c r="H2563" i="24"/>
  <c r="H2564" i="24"/>
  <c r="H2565" i="24"/>
  <c r="H2566" i="24"/>
  <c r="H2567" i="24"/>
  <c r="H2568" i="24"/>
  <c r="H2569" i="24"/>
  <c r="H2570" i="24"/>
  <c r="H2571" i="24"/>
  <c r="H2572" i="24"/>
  <c r="H2573" i="24"/>
  <c r="H2574" i="24"/>
  <c r="H2575" i="24"/>
  <c r="H2576" i="24"/>
  <c r="H2577" i="24"/>
  <c r="H2578" i="24"/>
  <c r="H2579" i="24"/>
  <c r="H2580" i="24"/>
  <c r="H2581" i="24"/>
  <c r="H2582" i="24"/>
  <c r="H2583" i="24"/>
  <c r="H2584" i="24"/>
  <c r="H2586" i="24"/>
  <c r="H2587" i="24"/>
  <c r="H2588" i="24"/>
  <c r="H2589" i="24"/>
  <c r="H2590" i="24"/>
  <c r="H2591" i="24"/>
  <c r="H2592" i="24"/>
  <c r="H2593" i="24"/>
  <c r="H2594" i="24"/>
  <c r="H2595" i="24"/>
  <c r="H2596" i="24"/>
  <c r="H2597" i="24"/>
  <c r="H2598" i="24"/>
  <c r="H2599" i="24"/>
  <c r="H2600" i="24"/>
  <c r="H2601" i="24"/>
  <c r="H2602" i="24"/>
  <c r="H2603" i="24"/>
  <c r="H2604" i="24"/>
  <c r="H2605" i="24"/>
  <c r="H2606" i="24"/>
  <c r="H2607" i="24"/>
  <c r="H2608" i="24"/>
  <c r="H2609" i="24"/>
  <c r="H2610" i="24"/>
  <c r="H2611" i="24"/>
  <c r="H2612" i="24"/>
  <c r="H2613" i="24"/>
  <c r="H2614" i="24"/>
  <c r="H2615" i="24"/>
  <c r="H2616" i="24"/>
  <c r="H2617" i="24"/>
  <c r="H2618" i="24"/>
  <c r="H2619" i="24"/>
  <c r="H2621" i="24"/>
  <c r="H2622" i="24"/>
  <c r="H2623" i="24"/>
  <c r="H2624" i="24"/>
  <c r="H2625" i="24"/>
  <c r="H2626" i="24"/>
  <c r="H2627" i="24"/>
  <c r="H2628" i="24"/>
  <c r="H2629" i="24"/>
  <c r="H2630" i="24"/>
  <c r="H2631" i="24"/>
  <c r="H2632" i="24"/>
  <c r="H2633" i="24"/>
  <c r="H2634" i="24"/>
  <c r="H2635" i="24"/>
  <c r="H2636" i="24"/>
  <c r="H2637" i="24"/>
  <c r="H2638" i="24"/>
  <c r="H2639" i="24"/>
  <c r="H2640" i="24"/>
  <c r="H2641" i="24"/>
  <c r="H2642" i="24"/>
  <c r="H2643" i="24"/>
  <c r="H2644" i="24"/>
  <c r="H2645" i="24"/>
  <c r="H2646" i="24"/>
  <c r="H2647" i="24"/>
  <c r="H2648" i="24"/>
  <c r="H2649" i="24"/>
  <c r="H2650" i="24"/>
  <c r="H2651" i="24"/>
  <c r="H2652" i="24"/>
  <c r="H2653" i="24"/>
  <c r="H2654" i="24"/>
  <c r="H2655" i="24"/>
  <c r="H2656" i="24"/>
  <c r="H2657" i="24"/>
  <c r="H2658" i="24"/>
  <c r="H2659" i="24"/>
  <c r="H2660" i="24"/>
  <c r="H2661" i="24"/>
  <c r="H2662" i="24"/>
  <c r="H2663" i="24"/>
  <c r="H2664" i="24"/>
  <c r="H2665" i="24"/>
  <c r="H2666" i="24"/>
  <c r="H2667" i="24"/>
  <c r="H2668" i="24"/>
  <c r="H2671" i="24"/>
  <c r="H2672" i="24"/>
  <c r="H2673" i="24"/>
  <c r="H2674" i="24"/>
  <c r="H2675" i="24"/>
  <c r="H2676" i="24"/>
  <c r="H2677" i="24"/>
  <c r="H2678" i="24"/>
  <c r="H2679" i="24"/>
  <c r="H2680" i="24"/>
  <c r="H2681" i="24"/>
  <c r="H2682" i="24"/>
  <c r="H2683" i="24"/>
  <c r="H2684" i="24"/>
  <c r="H2685" i="24"/>
  <c r="H2686" i="24"/>
  <c r="H2687" i="24"/>
  <c r="H2688" i="24"/>
  <c r="H2689" i="24"/>
  <c r="H2691" i="24"/>
  <c r="H2692" i="24"/>
  <c r="H2693" i="24"/>
  <c r="H2694" i="24"/>
  <c r="H2695" i="24"/>
  <c r="H2696" i="24"/>
  <c r="H2697" i="24"/>
  <c r="H2698" i="24"/>
  <c r="H2699" i="24"/>
  <c r="H2700" i="24"/>
  <c r="H2701" i="24"/>
  <c r="H2702" i="24"/>
  <c r="H2703" i="24"/>
  <c r="H2704" i="24"/>
  <c r="H2705" i="24"/>
  <c r="H2706" i="24"/>
  <c r="H2707" i="24"/>
  <c r="H2709" i="24"/>
  <c r="H2710" i="24"/>
  <c r="H2711" i="24"/>
  <c r="H2712" i="24"/>
  <c r="H2713" i="24"/>
  <c r="H2714" i="24"/>
  <c r="H2715" i="24"/>
  <c r="H2716" i="24"/>
  <c r="H2717" i="24"/>
  <c r="H2718" i="24"/>
  <c r="H2719" i="24"/>
  <c r="H2720" i="24"/>
  <c r="H2721" i="24"/>
  <c r="H2722" i="24"/>
  <c r="H2723" i="24"/>
  <c r="H2724" i="24"/>
  <c r="H2725" i="24"/>
  <c r="H2726" i="24"/>
  <c r="H2727" i="24"/>
  <c r="H2728" i="24"/>
  <c r="H2729" i="24"/>
  <c r="H2730" i="24"/>
  <c r="H2731" i="24"/>
  <c r="H2732" i="24"/>
  <c r="H2733" i="24"/>
  <c r="H2734" i="24"/>
  <c r="H2735" i="24"/>
  <c r="H2736" i="24"/>
  <c r="H2737" i="24"/>
  <c r="H2738" i="24"/>
  <c r="H2739" i="24"/>
  <c r="H2740" i="24"/>
  <c r="H2741" i="24"/>
  <c r="H2742" i="24"/>
  <c r="H2743" i="24"/>
  <c r="H2744" i="24"/>
  <c r="H2745" i="24"/>
  <c r="H2746" i="24"/>
  <c r="H2747" i="24"/>
  <c r="H2748" i="24"/>
  <c r="H2749" i="24"/>
  <c r="H2750" i="24"/>
  <c r="H2751" i="24"/>
  <c r="H2752" i="24"/>
  <c r="H2753" i="24"/>
  <c r="H2754" i="24"/>
  <c r="H2755" i="24"/>
  <c r="H2756" i="24"/>
  <c r="H2757" i="24"/>
  <c r="H2758" i="24"/>
  <c r="H2759" i="24"/>
  <c r="H2760" i="24"/>
  <c r="H2761" i="24"/>
  <c r="H2762" i="24"/>
  <c r="H2763" i="24"/>
  <c r="H2764" i="24"/>
  <c r="H2765" i="24"/>
  <c r="H2766" i="24"/>
  <c r="H2767" i="24"/>
  <c r="H2768" i="24"/>
  <c r="H2769" i="24"/>
  <c r="H2770" i="24"/>
  <c r="H2771" i="24"/>
  <c r="H2772" i="24"/>
  <c r="H2773" i="24"/>
  <c r="H2774" i="24"/>
  <c r="H2775" i="24"/>
  <c r="H2776" i="24"/>
  <c r="H2777" i="24"/>
  <c r="H2778" i="24"/>
  <c r="H2779" i="24"/>
  <c r="H2780" i="24"/>
  <c r="H2781" i="24"/>
  <c r="H2782" i="24"/>
  <c r="H2783" i="24"/>
  <c r="H2784" i="24"/>
  <c r="H2785" i="24"/>
  <c r="H2786" i="24"/>
  <c r="H2787" i="24"/>
  <c r="H2788" i="24"/>
  <c r="H2789" i="24"/>
  <c r="H2790" i="24"/>
  <c r="H2791" i="24"/>
  <c r="H2792" i="24"/>
  <c r="H2793" i="24"/>
  <c r="H2794" i="24"/>
  <c r="H2795" i="24"/>
  <c r="H2796" i="24"/>
  <c r="H2797" i="24"/>
  <c r="H2798" i="24"/>
  <c r="H2799" i="24"/>
  <c r="H2800" i="24"/>
  <c r="H2801" i="24"/>
  <c r="H2802" i="24"/>
  <c r="H2803" i="24"/>
  <c r="H2804" i="24"/>
  <c r="H2805" i="24"/>
  <c r="H2806" i="24"/>
  <c r="H2807" i="24"/>
  <c r="H2808" i="24"/>
  <c r="H2809" i="24"/>
  <c r="H2810" i="24"/>
  <c r="H2811" i="24"/>
  <c r="H2812" i="24"/>
  <c r="H2813" i="24"/>
  <c r="H2814" i="24"/>
  <c r="H2815" i="24"/>
  <c r="H2816" i="24"/>
  <c r="H2818" i="24"/>
  <c r="H2819" i="24"/>
  <c r="H2820" i="24"/>
  <c r="H2821" i="24"/>
  <c r="H2822" i="24"/>
  <c r="H2823" i="24"/>
  <c r="H2824" i="24"/>
  <c r="H2825" i="24"/>
  <c r="H2826" i="24"/>
  <c r="H2827" i="24"/>
  <c r="H2828" i="24"/>
  <c r="H2829" i="24"/>
  <c r="H2830" i="24"/>
  <c r="H2831" i="24"/>
  <c r="H2832" i="24"/>
  <c r="H2833" i="24"/>
  <c r="H2834" i="24"/>
  <c r="H2835" i="24"/>
  <c r="H2836" i="24"/>
  <c r="H2837" i="24"/>
  <c r="H2838" i="24"/>
  <c r="H2839" i="24"/>
  <c r="H2840" i="24"/>
  <c r="H2841" i="24"/>
  <c r="H2842" i="24"/>
  <c r="H2843" i="24"/>
  <c r="H2844" i="24"/>
  <c r="H2845" i="24"/>
  <c r="H2846" i="24"/>
  <c r="H2847" i="24"/>
  <c r="H2848" i="24"/>
  <c r="H2849" i="24"/>
  <c r="H2850" i="24"/>
  <c r="H2851" i="24"/>
  <c r="H2853" i="24"/>
  <c r="H2854" i="24"/>
  <c r="H2855" i="24"/>
  <c r="H2856" i="24"/>
  <c r="H2857" i="24"/>
  <c r="H2858" i="24"/>
  <c r="H2859" i="24"/>
  <c r="H2860" i="24"/>
  <c r="H2861" i="24"/>
  <c r="H2862" i="24"/>
  <c r="H2863" i="24"/>
  <c r="H2864" i="24"/>
  <c r="H2865" i="24"/>
  <c r="H2866" i="24"/>
  <c r="H2867" i="24"/>
  <c r="H2868" i="24"/>
  <c r="H2869" i="24"/>
  <c r="H2870" i="24"/>
  <c r="H2871" i="24"/>
  <c r="H2872" i="24"/>
  <c r="H2873" i="24"/>
  <c r="H2874" i="24"/>
  <c r="H2875" i="24"/>
  <c r="H2876" i="24"/>
  <c r="H2877" i="24"/>
  <c r="H2878" i="24"/>
  <c r="H2879" i="24"/>
  <c r="H2880" i="24"/>
  <c r="H2881" i="24"/>
  <c r="H2882" i="24"/>
  <c r="H2883" i="24"/>
  <c r="H2884" i="24"/>
  <c r="H2885" i="24"/>
  <c r="H2886" i="24"/>
  <c r="H2888" i="24"/>
  <c r="H2889" i="24"/>
  <c r="H2890" i="24"/>
  <c r="H2891" i="24"/>
  <c r="H2892" i="24"/>
  <c r="H2894" i="24"/>
  <c r="H2895" i="24"/>
  <c r="H2896" i="24"/>
  <c r="H2897" i="24"/>
  <c r="H2898" i="24"/>
  <c r="H2899" i="24"/>
  <c r="H2900" i="24"/>
  <c r="H2901" i="24"/>
  <c r="H2902" i="24"/>
  <c r="H2903" i="24"/>
  <c r="H2904" i="24"/>
  <c r="H2905" i="24"/>
  <c r="H2906" i="24"/>
  <c r="H2907" i="24"/>
  <c r="H2908" i="24"/>
  <c r="H2909" i="24"/>
  <c r="H2910" i="24"/>
  <c r="H2911" i="24"/>
  <c r="H2912" i="24"/>
  <c r="H2913" i="24"/>
  <c r="H2914" i="24"/>
  <c r="H2915" i="24"/>
  <c r="H2916" i="24"/>
  <c r="H2917" i="24"/>
  <c r="H2918" i="24"/>
  <c r="H2919" i="24"/>
  <c r="H2920" i="24"/>
  <c r="H2921" i="24"/>
  <c r="H2924" i="24"/>
  <c r="H2925" i="24"/>
  <c r="H2926" i="24"/>
  <c r="H2927" i="24"/>
  <c r="H2928" i="24"/>
  <c r="H2929" i="24"/>
  <c r="H2930" i="24"/>
  <c r="H2931" i="24"/>
  <c r="H2932" i="24"/>
  <c r="H2933" i="24"/>
  <c r="H2934" i="24"/>
  <c r="H2935" i="24"/>
  <c r="H2936" i="24"/>
  <c r="H2937" i="24"/>
  <c r="H2938" i="24"/>
  <c r="H2939" i="24"/>
  <c r="H2940" i="24"/>
  <c r="H2941" i="24"/>
  <c r="H2942" i="24"/>
  <c r="H2943" i="24"/>
  <c r="H2944" i="24"/>
  <c r="H2945" i="24"/>
  <c r="H2946" i="24"/>
  <c r="H2947" i="24"/>
  <c r="H2948" i="24"/>
  <c r="H2949" i="24"/>
  <c r="H2950" i="24"/>
  <c r="H2951" i="24"/>
  <c r="H2952" i="24"/>
  <c r="H2953" i="24"/>
  <c r="H2954" i="24"/>
  <c r="H2955" i="24"/>
  <c r="H2956" i="24"/>
  <c r="H2958" i="24"/>
  <c r="H2959" i="24"/>
  <c r="H2960" i="24"/>
  <c r="H2961" i="24"/>
  <c r="H2962" i="24"/>
  <c r="H2963" i="24"/>
  <c r="H2964" i="24"/>
  <c r="H2965" i="24"/>
  <c r="H2966" i="24"/>
  <c r="H2967" i="24"/>
  <c r="H2968" i="24"/>
  <c r="H2969" i="24"/>
  <c r="H2970" i="24"/>
  <c r="H2971" i="24"/>
  <c r="H2972" i="24"/>
  <c r="H2973" i="24"/>
  <c r="H2974" i="24"/>
  <c r="H2975" i="24"/>
  <c r="H2976" i="24"/>
  <c r="H2977" i="24"/>
  <c r="H2978" i="24"/>
  <c r="H2979" i="24"/>
  <c r="H2980" i="24"/>
  <c r="H2981" i="24"/>
  <c r="H2982" i="24"/>
  <c r="H2983" i="24"/>
  <c r="H2984" i="24"/>
  <c r="H2985" i="24"/>
  <c r="H2986" i="24"/>
  <c r="H2987" i="24"/>
  <c r="H2988" i="24"/>
  <c r="H2989" i="24"/>
  <c r="H2990" i="24"/>
  <c r="H2991" i="24"/>
  <c r="H2993" i="24"/>
  <c r="H2994" i="24"/>
  <c r="H2995" i="24"/>
  <c r="H2996" i="24"/>
  <c r="H2997" i="24"/>
  <c r="H2998" i="24"/>
  <c r="H2999" i="24"/>
  <c r="H3000" i="24"/>
  <c r="H3001" i="24"/>
  <c r="H3002" i="24"/>
  <c r="H3003" i="24"/>
  <c r="H3004" i="24"/>
  <c r="H3005" i="24"/>
  <c r="H3006" i="24"/>
  <c r="H3007" i="24"/>
  <c r="H3008" i="24"/>
  <c r="H3009" i="24"/>
  <c r="H3010" i="24"/>
  <c r="H3011" i="24"/>
  <c r="H3012" i="24"/>
  <c r="H3013" i="24"/>
  <c r="H3014" i="24"/>
  <c r="H3015" i="24"/>
  <c r="H3016" i="24"/>
  <c r="H3017" i="24"/>
  <c r="H3018" i="24"/>
  <c r="H3019" i="24"/>
  <c r="H3020" i="24"/>
  <c r="H3021" i="24"/>
  <c r="H3022" i="24"/>
  <c r="H3023" i="24"/>
  <c r="H3024" i="24"/>
  <c r="H3025" i="24"/>
  <c r="H3026" i="24"/>
  <c r="H3028" i="24"/>
  <c r="H3029" i="24"/>
  <c r="H3030" i="24"/>
  <c r="H3031" i="24"/>
  <c r="H3032" i="24"/>
  <c r="H3033" i="24"/>
  <c r="H3034" i="24"/>
  <c r="H3035" i="24"/>
  <c r="H3036" i="24"/>
  <c r="H3037" i="24"/>
  <c r="H3038" i="24"/>
  <c r="H3039" i="24"/>
  <c r="H3040" i="24"/>
  <c r="H3041" i="24"/>
  <c r="H3042" i="24"/>
  <c r="H3043" i="24"/>
  <c r="H3044" i="24"/>
  <c r="H3045" i="24"/>
  <c r="H3046" i="24"/>
  <c r="H3047" i="24"/>
  <c r="H3048" i="24"/>
  <c r="H3049" i="24"/>
  <c r="H3050" i="24"/>
  <c r="H3051" i="24"/>
  <c r="H3052" i="24"/>
  <c r="H3053" i="24"/>
  <c r="H3054" i="24"/>
  <c r="H3055" i="24"/>
  <c r="H3056" i="24"/>
  <c r="H3057" i="24"/>
  <c r="H3058" i="24"/>
  <c r="H3059" i="24"/>
  <c r="H3060" i="24"/>
  <c r="H3061" i="24"/>
  <c r="H3062" i="24"/>
  <c r="H3063" i="24"/>
  <c r="H3064" i="24"/>
  <c r="H3065" i="24"/>
  <c r="H3066" i="24"/>
  <c r="H3067" i="24"/>
  <c r="H3068" i="24"/>
  <c r="H3069" i="24"/>
  <c r="H3070" i="24"/>
  <c r="H3071" i="24"/>
  <c r="H3072" i="24"/>
  <c r="H3073" i="24"/>
  <c r="H3074" i="24"/>
  <c r="H3075" i="24"/>
  <c r="H3076" i="24"/>
  <c r="H3077" i="24"/>
  <c r="H3078" i="24"/>
  <c r="H3080" i="24"/>
  <c r="H3081" i="24"/>
  <c r="H3082" i="24"/>
  <c r="H3083" i="24"/>
  <c r="H3084" i="24"/>
  <c r="H3085" i="24"/>
  <c r="H3086" i="24"/>
  <c r="H3087" i="24"/>
  <c r="H3088" i="24"/>
  <c r="H3089" i="24"/>
  <c r="H3090" i="24"/>
  <c r="H3091" i="24"/>
  <c r="H3092" i="24"/>
  <c r="H3093" i="24"/>
  <c r="H3094" i="24"/>
  <c r="H3095" i="24"/>
  <c r="H3096" i="24"/>
  <c r="H3097" i="24"/>
  <c r="H3098" i="24"/>
  <c r="H3099" i="24"/>
  <c r="H3100" i="24"/>
  <c r="H3101" i="24"/>
  <c r="H3102" i="24"/>
  <c r="H3103" i="24"/>
  <c r="H3104" i="24"/>
  <c r="H3105" i="24"/>
  <c r="H3106" i="24"/>
  <c r="H3107" i="24"/>
  <c r="H3108" i="24"/>
  <c r="H3109" i="24"/>
  <c r="H3110" i="24"/>
  <c r="H3111" i="24"/>
  <c r="H3112" i="24"/>
  <c r="H3113" i="24"/>
  <c r="H3115" i="24"/>
  <c r="H3116" i="24"/>
  <c r="H3117" i="24"/>
  <c r="H3118" i="24"/>
  <c r="H3119" i="24"/>
  <c r="H3120" i="24"/>
  <c r="H3121" i="24"/>
  <c r="H3122" i="24"/>
  <c r="H3123" i="24"/>
  <c r="H3124" i="24"/>
  <c r="H3125" i="24"/>
  <c r="H3126" i="24"/>
  <c r="H3127" i="24"/>
  <c r="H3128" i="24"/>
  <c r="H3129" i="24"/>
  <c r="H3130" i="24"/>
  <c r="H3131" i="24"/>
  <c r="H3132" i="24"/>
  <c r="H3133" i="24"/>
  <c r="H3134" i="24"/>
  <c r="H3135" i="24"/>
  <c r="H3136" i="24"/>
  <c r="H3137" i="24"/>
  <c r="H3138" i="24"/>
  <c r="H3139" i="24"/>
  <c r="H3140" i="24"/>
  <c r="H3141" i="24"/>
  <c r="H3142" i="24"/>
  <c r="H3143" i="24"/>
  <c r="H3144" i="24"/>
  <c r="H3145" i="24"/>
  <c r="H3146" i="24"/>
  <c r="H3147" i="24"/>
  <c r="H3148" i="24"/>
  <c r="H3150" i="24"/>
  <c r="H3151" i="24"/>
  <c r="H3152" i="24"/>
  <c r="H3153" i="24"/>
  <c r="H3154" i="24"/>
  <c r="H3155" i="24"/>
  <c r="H3156" i="24"/>
  <c r="H3157" i="24"/>
  <c r="H3158" i="24"/>
  <c r="H3159" i="24"/>
  <c r="H3160" i="24"/>
  <c r="H3161" i="24"/>
  <c r="H3162" i="24"/>
  <c r="H3163" i="24"/>
  <c r="H3164" i="24"/>
  <c r="H3165" i="24"/>
  <c r="H3166" i="24"/>
  <c r="H3167" i="24"/>
  <c r="H3168" i="24"/>
  <c r="H3169" i="24"/>
  <c r="H3170" i="24"/>
  <c r="H3171" i="24"/>
  <c r="H3172" i="24"/>
  <c r="H3173" i="24"/>
  <c r="H3174" i="24"/>
  <c r="H3175" i="24"/>
  <c r="H3176" i="24"/>
  <c r="H3177" i="24"/>
  <c r="H3178" i="24"/>
  <c r="H3179" i="24"/>
  <c r="H3180" i="24"/>
  <c r="H3181" i="24"/>
  <c r="H3182" i="24"/>
  <c r="H3183" i="24"/>
  <c r="H3186" i="24"/>
  <c r="H3187" i="24"/>
  <c r="H3188" i="24"/>
  <c r="H3189" i="24"/>
  <c r="H3190" i="24"/>
  <c r="H3191" i="24"/>
  <c r="H3192" i="24"/>
  <c r="H3193" i="24"/>
  <c r="H3194" i="24"/>
  <c r="H3195" i="24"/>
  <c r="H3196" i="24"/>
  <c r="H3197" i="24"/>
  <c r="H3198" i="24"/>
  <c r="H3199" i="24"/>
  <c r="H3200" i="24"/>
  <c r="H3201" i="24"/>
  <c r="H3202" i="24"/>
  <c r="H3203" i="24"/>
  <c r="H3204" i="24"/>
  <c r="H3205" i="24"/>
  <c r="H3206" i="24"/>
  <c r="H3207" i="24"/>
  <c r="H3208" i="24"/>
  <c r="H3209" i="24"/>
  <c r="H3210" i="24"/>
  <c r="H3211" i="24"/>
  <c r="H3212" i="24"/>
  <c r="H3213" i="24"/>
  <c r="H3214" i="24"/>
  <c r="H3215" i="24"/>
  <c r="H3216" i="24"/>
  <c r="H3217" i="24"/>
  <c r="H3218" i="24"/>
  <c r="H3220" i="24"/>
  <c r="H3221" i="24"/>
  <c r="H3222" i="24"/>
  <c r="H3223" i="24"/>
  <c r="H3224" i="24"/>
  <c r="H3225" i="24"/>
  <c r="H3226" i="24"/>
  <c r="H3227" i="24"/>
  <c r="H3228" i="24"/>
  <c r="H3229" i="24"/>
  <c r="H3230" i="24"/>
  <c r="H3231" i="24"/>
  <c r="H3232" i="24"/>
  <c r="H3233" i="24"/>
  <c r="H3234" i="24"/>
  <c r="H3235" i="24"/>
  <c r="H3236" i="24"/>
  <c r="H3237" i="24"/>
  <c r="H3238" i="24"/>
  <c r="H3239" i="24"/>
  <c r="H3240" i="24"/>
  <c r="H3241" i="24"/>
  <c r="H3242" i="24"/>
  <c r="H3243" i="24"/>
  <c r="H3244" i="24"/>
  <c r="H3245" i="24"/>
  <c r="H3246" i="24"/>
  <c r="H3247" i="24"/>
  <c r="H3248" i="24"/>
  <c r="H3249" i="24"/>
  <c r="H3250" i="24"/>
  <c r="H3251" i="24"/>
  <c r="H3252" i="24"/>
  <c r="H3253" i="24"/>
  <c r="H3255" i="24"/>
  <c r="H3257" i="24"/>
  <c r="H3258" i="24"/>
  <c r="H3259" i="24"/>
  <c r="H3260" i="24"/>
  <c r="H3261" i="24"/>
  <c r="H3262" i="24"/>
  <c r="H3263" i="24"/>
  <c r="H3264" i="24"/>
  <c r="H3265" i="24"/>
  <c r="H3266" i="24"/>
  <c r="H3267" i="24"/>
  <c r="H3268" i="24"/>
  <c r="H3269" i="24"/>
  <c r="H3270" i="24"/>
  <c r="H3271" i="24"/>
  <c r="H3272" i="24"/>
  <c r="H3273" i="24"/>
  <c r="H3274" i="24"/>
  <c r="H3275" i="24"/>
  <c r="H3276" i="24"/>
  <c r="H3277" i="24"/>
  <c r="H3278" i="24"/>
  <c r="H3279" i="24"/>
  <c r="H3280" i="24"/>
  <c r="H3281" i="24"/>
  <c r="H3282" i="24"/>
  <c r="H3283" i="24"/>
  <c r="H3284" i="24"/>
  <c r="H3285" i="24"/>
  <c r="H3286" i="24"/>
  <c r="H3287" i="24"/>
  <c r="H3288" i="24"/>
  <c r="H3290" i="24"/>
  <c r="H3291" i="24"/>
  <c r="H3292" i="24"/>
  <c r="H3293" i="24"/>
  <c r="H3294" i="24"/>
  <c r="H3295" i="24"/>
  <c r="H3296" i="24"/>
  <c r="H3297" i="24"/>
  <c r="H3298" i="24"/>
  <c r="H3299" i="24"/>
  <c r="H3300" i="24"/>
  <c r="H3301" i="24"/>
  <c r="H3302" i="24"/>
  <c r="H3303" i="24"/>
  <c r="H3304" i="24"/>
  <c r="H3305" i="24"/>
  <c r="H3306" i="24"/>
  <c r="H3307" i="24"/>
  <c r="H3308" i="24"/>
  <c r="H3309" i="24"/>
  <c r="H3310" i="24"/>
  <c r="H3311" i="24"/>
  <c r="H3312" i="24"/>
  <c r="H3313" i="24"/>
  <c r="H3314" i="24"/>
  <c r="H3315" i="24"/>
  <c r="H3316" i="24"/>
  <c r="H3317" i="24"/>
  <c r="H3318" i="24"/>
  <c r="H3319" i="24"/>
  <c r="H3320" i="24"/>
  <c r="H3321" i="24"/>
  <c r="H3322" i="24"/>
  <c r="H3323" i="24"/>
  <c r="H3325" i="24"/>
  <c r="H3326" i="24"/>
  <c r="H3327" i="24"/>
  <c r="H3328" i="24"/>
  <c r="H3329" i="24"/>
  <c r="H3330" i="24"/>
  <c r="H3331" i="24"/>
  <c r="H3332" i="24"/>
  <c r="H3333" i="24"/>
  <c r="H3334" i="24"/>
  <c r="H3335" i="24"/>
  <c r="H3336" i="24"/>
  <c r="H3337" i="24"/>
  <c r="H3338" i="24"/>
  <c r="H3339" i="24"/>
  <c r="H3340" i="24"/>
  <c r="H3341" i="24"/>
  <c r="H3342" i="24"/>
  <c r="H3343" i="24"/>
  <c r="H3344" i="24"/>
  <c r="H3345" i="24"/>
  <c r="H3346" i="24"/>
  <c r="H3347" i="24"/>
  <c r="H3348" i="24"/>
  <c r="H3349" i="24"/>
  <c r="H3350" i="24"/>
  <c r="H3351" i="24"/>
  <c r="H3352" i="24"/>
  <c r="H3353" i="24"/>
  <c r="H3354" i="24"/>
  <c r="H3355" i="24"/>
  <c r="H3356" i="24"/>
  <c r="H3357" i="24"/>
  <c r="H3358" i="24"/>
  <c r="H3360" i="24"/>
  <c r="H3361" i="24"/>
  <c r="H3362" i="24"/>
  <c r="H3363" i="24"/>
  <c r="H3364" i="24"/>
  <c r="H3365" i="24"/>
  <c r="H3366" i="24"/>
  <c r="H3367" i="24"/>
  <c r="H3368" i="24"/>
  <c r="H3369" i="24"/>
  <c r="H3370" i="24"/>
  <c r="H3371" i="24"/>
  <c r="H3372" i="24"/>
  <c r="H3373" i="24"/>
  <c r="H3374" i="24"/>
  <c r="H3375" i="24"/>
  <c r="H3376" i="24"/>
  <c r="H3377" i="24"/>
  <c r="H3378" i="24"/>
  <c r="H3379" i="24"/>
  <c r="H3380" i="24"/>
  <c r="H3381" i="24"/>
  <c r="H3382" i="24"/>
  <c r="H3383" i="24"/>
  <c r="H3384" i="24"/>
  <c r="H3385" i="24"/>
  <c r="H3386" i="24"/>
  <c r="H3387" i="24"/>
  <c r="H3388" i="24"/>
  <c r="H3389" i="24"/>
  <c r="H3390" i="24"/>
  <c r="H3391" i="24"/>
  <c r="H3392" i="24"/>
  <c r="H3393" i="24"/>
  <c r="H3395" i="24"/>
  <c r="H3396" i="24"/>
  <c r="H3397" i="24"/>
  <c r="H3398" i="24"/>
  <c r="H3399" i="24"/>
  <c r="H3400" i="24"/>
  <c r="H3401" i="24"/>
  <c r="H3402" i="24"/>
  <c r="H3403" i="24"/>
  <c r="H3404" i="24"/>
  <c r="H3405" i="24"/>
  <c r="H3406" i="24"/>
  <c r="H3407" i="24"/>
  <c r="H3408" i="24"/>
  <c r="H3409" i="24"/>
  <c r="H3410" i="24"/>
  <c r="H3411" i="24"/>
  <c r="H3412" i="24"/>
  <c r="H3413" i="24"/>
  <c r="H3414" i="24"/>
  <c r="H3415" i="24"/>
  <c r="H3416" i="24"/>
  <c r="H3417" i="24"/>
  <c r="H3418" i="24"/>
  <c r="H3419" i="24"/>
  <c r="H3420" i="24"/>
  <c r="H3421" i="24"/>
  <c r="H3422" i="24"/>
  <c r="H3423" i="24"/>
  <c r="H3424" i="24"/>
  <c r="H3425" i="24"/>
  <c r="H3426" i="24"/>
  <c r="H3427" i="24"/>
  <c r="H3428" i="24"/>
  <c r="H3430" i="24"/>
  <c r="H3431" i="24"/>
  <c r="H3432" i="24"/>
  <c r="H3433" i="24"/>
  <c r="H3434" i="24"/>
  <c r="H3435" i="24"/>
  <c r="H3436" i="24"/>
  <c r="H3437" i="24"/>
  <c r="H3438" i="24"/>
  <c r="H3439" i="24"/>
  <c r="H3440" i="24"/>
  <c r="H3441" i="24"/>
  <c r="H3442" i="24"/>
  <c r="H3443" i="24"/>
  <c r="H3444" i="24"/>
  <c r="H3445" i="24"/>
  <c r="H3446" i="24"/>
  <c r="H3447" i="24"/>
  <c r="H3448" i="24"/>
  <c r="H3449" i="24"/>
  <c r="H3450" i="24"/>
  <c r="H3451" i="24"/>
  <c r="H3452" i="24"/>
  <c r="H3453" i="24"/>
  <c r="H3454" i="24"/>
  <c r="H3455" i="24"/>
  <c r="H3456" i="24"/>
  <c r="H3457" i="24"/>
  <c r="H3458" i="24"/>
  <c r="H3459" i="24"/>
  <c r="H3460" i="24"/>
  <c r="H3461" i="24"/>
  <c r="H3462" i="24"/>
  <c r="H3463" i="24"/>
  <c r="H3465" i="24"/>
  <c r="H3466" i="24"/>
  <c r="H3467" i="24"/>
  <c r="H3468" i="24"/>
  <c r="H3469" i="24"/>
  <c r="H3470" i="24"/>
  <c r="H3471" i="24"/>
  <c r="H3472" i="24"/>
  <c r="H3473" i="24"/>
  <c r="H3474" i="24"/>
  <c r="H3475" i="24"/>
  <c r="H3476" i="24"/>
  <c r="H3477" i="24"/>
  <c r="H3478" i="24"/>
  <c r="H3479" i="24"/>
  <c r="H3480" i="24"/>
  <c r="H3481" i="24"/>
  <c r="H3482" i="24"/>
  <c r="H3483" i="24"/>
  <c r="H3484" i="24"/>
  <c r="H3485" i="24"/>
  <c r="H3486" i="24"/>
  <c r="H3487" i="24"/>
  <c r="H3488" i="24"/>
  <c r="H3489" i="24"/>
  <c r="H3490" i="24"/>
  <c r="H3491" i="24"/>
  <c r="H3492" i="24"/>
  <c r="H3493" i="24"/>
  <c r="H3494" i="24"/>
  <c r="H3495" i="24"/>
  <c r="H3496" i="24"/>
  <c r="H3497" i="24"/>
  <c r="H3498" i="24"/>
  <c r="H3500" i="24"/>
  <c r="H3501" i="24"/>
  <c r="H3502" i="24"/>
  <c r="H3503" i="24"/>
  <c r="H3504" i="24"/>
  <c r="H3505" i="24"/>
  <c r="H3506" i="24"/>
  <c r="H3507" i="24"/>
  <c r="H3508" i="24"/>
  <c r="H3509" i="24"/>
  <c r="H3510" i="24"/>
  <c r="H3511" i="24"/>
  <c r="H3512" i="24"/>
  <c r="H3513" i="24"/>
  <c r="H3514" i="24"/>
  <c r="H3515" i="24"/>
  <c r="H3516" i="24"/>
  <c r="H3517" i="24"/>
  <c r="H3518" i="24"/>
  <c r="H3519" i="24"/>
  <c r="H3520" i="24"/>
  <c r="H3521" i="24"/>
  <c r="H3522" i="24"/>
  <c r="H3523" i="24"/>
  <c r="H3524" i="24"/>
  <c r="H3525" i="24"/>
  <c r="H3526" i="24"/>
  <c r="H3527" i="24"/>
  <c r="H3528" i="24"/>
  <c r="H3529" i="24"/>
  <c r="H3530" i="24"/>
  <c r="H3531" i="24"/>
  <c r="H3532" i="24"/>
  <c r="H3533" i="24"/>
  <c r="H3536" i="24"/>
  <c r="H3537" i="24"/>
  <c r="H3538" i="24"/>
  <c r="H3539" i="24"/>
  <c r="H3540" i="24"/>
  <c r="H3541" i="24"/>
  <c r="H3542" i="24"/>
  <c r="H3543" i="24"/>
  <c r="H3544" i="24"/>
  <c r="H3545" i="24"/>
  <c r="H3546" i="24"/>
  <c r="H3547" i="24"/>
  <c r="H3548" i="24"/>
  <c r="H3549" i="24"/>
  <c r="H3550" i="24"/>
  <c r="H3551" i="24"/>
  <c r="H3552" i="24"/>
  <c r="H3553" i="24"/>
  <c r="H3554" i="24"/>
  <c r="H3555" i="24"/>
  <c r="H3556" i="24"/>
  <c r="H3557" i="24"/>
  <c r="H3558" i="24"/>
  <c r="H3559" i="24"/>
  <c r="H3560" i="24"/>
  <c r="H3561" i="24"/>
  <c r="H3562" i="24"/>
  <c r="H3563" i="24"/>
  <c r="H3564" i="24"/>
  <c r="H3565" i="24"/>
  <c r="H3566" i="24"/>
  <c r="H3567" i="24"/>
  <c r="H3568" i="24"/>
  <c r="H3570" i="24"/>
  <c r="H3571" i="24"/>
  <c r="H3572" i="24"/>
  <c r="H3573" i="24"/>
  <c r="H3574" i="24"/>
  <c r="H3575" i="24"/>
  <c r="H3576" i="24"/>
  <c r="H3577" i="24"/>
  <c r="H3578" i="24"/>
  <c r="H3579" i="24"/>
  <c r="H3580" i="24"/>
  <c r="H3581" i="24"/>
  <c r="H3582" i="24"/>
  <c r="H3583" i="24"/>
  <c r="H3584" i="24"/>
  <c r="H3585" i="24"/>
  <c r="H3586" i="24"/>
  <c r="H3587" i="24"/>
  <c r="H3588" i="24"/>
  <c r="H3589" i="24"/>
  <c r="H3590" i="24"/>
  <c r="H3591" i="24"/>
  <c r="H3592" i="24"/>
  <c r="H3593" i="24"/>
  <c r="H3594" i="24"/>
  <c r="H3595" i="24"/>
  <c r="H3596" i="24"/>
  <c r="H3597" i="24"/>
  <c r="H3598" i="24"/>
  <c r="H3599" i="24"/>
  <c r="H3600" i="24"/>
  <c r="H3601" i="24"/>
  <c r="H3602" i="24"/>
  <c r="H3603" i="24"/>
  <c r="H3605" i="24"/>
  <c r="H3606" i="24"/>
  <c r="H3607" i="24"/>
  <c r="H3608" i="24"/>
  <c r="H3609" i="24"/>
  <c r="H3610" i="24"/>
  <c r="H3611" i="24"/>
  <c r="H3612" i="24"/>
  <c r="H3613" i="24"/>
  <c r="H3614" i="24"/>
  <c r="H3615" i="24"/>
  <c r="H3616" i="24"/>
  <c r="H3617" i="24"/>
  <c r="H3618" i="24"/>
  <c r="H3619" i="24"/>
  <c r="H3620" i="24"/>
  <c r="H3621" i="24"/>
  <c r="H3622" i="24"/>
  <c r="H3623" i="24"/>
  <c r="H3624" i="24"/>
  <c r="H3625" i="24"/>
  <c r="H3626" i="24"/>
  <c r="H3627" i="24"/>
  <c r="H3628" i="24"/>
  <c r="H3629" i="24"/>
  <c r="H3630" i="24"/>
  <c r="H3631" i="24"/>
  <c r="H3632" i="24"/>
  <c r="H3633" i="24"/>
  <c r="H3634" i="24"/>
  <c r="H3635" i="24"/>
  <c r="H3636" i="24"/>
  <c r="H3637" i="24"/>
  <c r="H3638" i="24"/>
  <c r="H3640" i="24"/>
  <c r="H3641" i="24"/>
  <c r="H3642" i="24"/>
  <c r="H3643" i="24"/>
  <c r="H3644" i="24"/>
  <c r="H3645" i="24"/>
  <c r="H3646" i="24"/>
  <c r="H3647" i="24"/>
  <c r="H3648" i="24"/>
  <c r="H3649" i="24"/>
  <c r="H3650" i="24"/>
  <c r="H3651" i="24"/>
  <c r="H3652" i="24"/>
  <c r="H3653" i="24"/>
  <c r="H3654" i="24"/>
  <c r="H3655" i="24"/>
  <c r="H3656" i="24"/>
  <c r="H3657" i="24"/>
  <c r="H3658" i="24"/>
  <c r="H3659" i="24"/>
  <c r="H3660" i="24"/>
  <c r="H3661" i="24"/>
  <c r="H3662" i="24"/>
  <c r="H3663" i="24"/>
  <c r="H3664" i="24"/>
  <c r="H3665" i="24"/>
  <c r="H3666" i="24"/>
  <c r="H3667" i="24"/>
  <c r="H3668" i="24"/>
  <c r="H3669" i="24"/>
  <c r="H3670" i="24"/>
  <c r="H3671" i="24"/>
  <c r="H3672" i="24"/>
  <c r="H3673" i="24"/>
  <c r="H3674" i="24"/>
  <c r="H3675" i="24"/>
  <c r="H3676" i="24"/>
  <c r="H3677" i="24"/>
  <c r="H3678" i="24"/>
  <c r="H3679" i="24"/>
  <c r="H3680" i="24"/>
  <c r="H3681" i="24"/>
  <c r="H3682" i="24"/>
  <c r="H3683" i="24"/>
  <c r="H3684" i="24"/>
  <c r="H3685" i="24"/>
  <c r="H3686" i="24"/>
  <c r="H3687" i="24"/>
  <c r="H3688" i="24"/>
  <c r="H3689" i="24"/>
  <c r="H3690" i="24"/>
  <c r="H3691" i="24"/>
  <c r="H3692" i="24"/>
  <c r="H3693" i="24"/>
  <c r="H3694" i="24"/>
  <c r="H3695" i="24"/>
  <c r="H3696" i="24"/>
  <c r="H3697" i="24"/>
  <c r="H3698" i="24"/>
  <c r="H3699" i="24"/>
  <c r="H3700" i="24"/>
  <c r="H3701" i="24"/>
  <c r="H3702" i="24"/>
  <c r="H3703" i="24"/>
  <c r="H3704" i="24"/>
  <c r="H3705" i="24"/>
  <c r="H3706" i="24"/>
  <c r="H3708" i="24"/>
  <c r="H3709" i="24"/>
  <c r="H3710" i="24"/>
  <c r="H3711" i="24"/>
  <c r="H3712" i="24"/>
  <c r="H3713" i="24"/>
  <c r="H3714" i="24"/>
  <c r="H3715" i="24"/>
  <c r="H3716" i="24"/>
  <c r="H3717" i="24"/>
  <c r="H3718" i="24"/>
  <c r="H3719" i="24"/>
  <c r="H3720" i="24"/>
  <c r="H3721" i="24"/>
  <c r="H3722" i="24"/>
  <c r="H3723" i="24"/>
  <c r="H3724" i="24"/>
  <c r="H3725" i="24"/>
  <c r="H3726" i="24"/>
  <c r="H3727" i="24"/>
  <c r="H3728" i="24"/>
  <c r="H3729" i="24"/>
  <c r="H3730" i="24"/>
  <c r="H3731" i="24"/>
  <c r="H3732" i="24"/>
  <c r="H3733" i="24"/>
  <c r="H3734" i="24"/>
  <c r="H3735" i="24"/>
  <c r="H3736" i="24"/>
  <c r="H3737" i="24"/>
  <c r="H3740" i="24"/>
  <c r="H3741" i="24"/>
  <c r="H3742" i="24"/>
  <c r="H3743" i="24"/>
  <c r="H3744" i="24"/>
  <c r="H3745" i="24"/>
  <c r="H3746" i="24"/>
  <c r="H3747" i="24"/>
  <c r="H3748" i="24"/>
  <c r="H3749" i="24"/>
  <c r="H3750" i="24"/>
  <c r="H3751" i="24"/>
  <c r="H3752" i="24"/>
  <c r="H3753" i="24"/>
  <c r="H3754" i="24"/>
  <c r="H3755" i="24"/>
  <c r="H3756" i="24"/>
  <c r="H3757" i="24"/>
  <c r="H3758" i="24"/>
  <c r="H3759" i="24"/>
  <c r="H3760" i="24"/>
  <c r="H3761" i="24"/>
  <c r="H3762" i="24"/>
  <c r="H3763" i="24"/>
  <c r="H3764" i="24"/>
  <c r="H3765" i="24"/>
  <c r="H3766" i="24"/>
  <c r="H3767" i="24"/>
  <c r="H3768" i="24"/>
  <c r="H3769" i="24"/>
  <c r="H3770" i="24"/>
  <c r="H3771" i="24"/>
  <c r="H3772" i="24"/>
  <c r="H3773" i="24"/>
  <c r="H3774" i="24"/>
  <c r="H3775" i="24"/>
  <c r="H3776" i="24"/>
  <c r="H3777" i="24"/>
  <c r="H3778" i="24"/>
  <c r="H3779" i="24"/>
  <c r="H3780" i="24"/>
  <c r="H3781" i="24"/>
  <c r="H3782" i="24"/>
  <c r="H3783" i="24"/>
  <c r="H3784" i="24"/>
  <c r="H3785" i="24"/>
  <c r="H3786" i="24"/>
  <c r="H3787" i="24"/>
  <c r="H3788" i="24"/>
  <c r="H3789" i="24"/>
  <c r="H3790" i="24"/>
  <c r="H3791" i="24"/>
  <c r="H3792" i="24"/>
  <c r="H3793" i="24"/>
  <c r="H3794" i="24"/>
  <c r="H3795" i="24"/>
  <c r="H3796" i="24"/>
  <c r="H3797" i="24"/>
  <c r="H3798" i="24"/>
  <c r="H3799" i="24"/>
  <c r="H3800" i="24"/>
  <c r="H3801" i="24"/>
  <c r="H3802" i="24"/>
  <c r="H3803" i="24"/>
  <c r="H3804" i="24"/>
  <c r="H3805" i="24"/>
  <c r="H3806" i="24"/>
  <c r="H3807" i="24"/>
  <c r="H3808" i="24"/>
  <c r="H3809" i="24"/>
  <c r="H3810" i="24"/>
  <c r="H3811" i="24"/>
  <c r="H3812" i="24"/>
  <c r="H3813" i="24"/>
  <c r="H3814" i="24"/>
  <c r="H3815" i="24"/>
  <c r="H3816" i="24"/>
  <c r="H3817" i="24"/>
  <c r="H3818" i="24"/>
  <c r="H3819" i="24"/>
  <c r="H3820" i="24"/>
  <c r="H3821" i="24"/>
  <c r="H3822" i="24"/>
  <c r="H3823" i="24"/>
  <c r="H3824" i="24"/>
  <c r="H3826" i="24"/>
  <c r="H3827" i="24"/>
  <c r="H3828" i="24"/>
  <c r="H3829" i="24"/>
  <c r="H3830" i="24"/>
  <c r="H3831" i="24"/>
  <c r="H3832" i="24"/>
  <c r="H3833" i="24"/>
  <c r="H3834" i="24"/>
  <c r="H3835" i="24"/>
  <c r="H3836" i="24"/>
  <c r="H3837" i="24"/>
  <c r="H3838" i="24"/>
  <c r="H3839" i="24"/>
  <c r="H3840" i="24"/>
  <c r="H3841" i="24"/>
  <c r="H3842" i="24"/>
  <c r="H3843" i="24"/>
  <c r="H3844" i="24"/>
  <c r="H3845" i="24"/>
  <c r="H3846" i="24"/>
  <c r="H3847" i="24"/>
  <c r="H3848" i="24"/>
  <c r="H3849" i="24"/>
  <c r="H3850" i="24"/>
  <c r="H3851" i="24"/>
  <c r="H3852" i="24"/>
  <c r="H3853" i="24"/>
  <c r="H3854" i="24"/>
  <c r="H3855" i="24"/>
  <c r="H3856" i="24"/>
  <c r="H3857" i="24"/>
  <c r="H3858" i="24"/>
  <c r="H3859" i="24"/>
  <c r="H3861" i="24"/>
  <c r="H3862" i="24"/>
  <c r="H3863" i="24"/>
  <c r="H3864" i="24"/>
  <c r="H3865" i="24"/>
  <c r="H3866" i="24"/>
  <c r="H3867" i="24"/>
  <c r="H3868" i="24"/>
  <c r="H3869" i="24"/>
  <c r="H3870" i="24"/>
  <c r="H3871" i="24"/>
  <c r="H3872" i="24"/>
  <c r="H3873" i="24"/>
  <c r="H3874" i="24"/>
  <c r="H3875" i="24"/>
  <c r="H3876" i="24"/>
  <c r="H3877" i="24"/>
  <c r="H3878" i="24"/>
  <c r="H3879" i="24"/>
  <c r="H3880" i="24"/>
  <c r="H3881" i="24"/>
  <c r="H3882" i="24"/>
  <c r="H3883" i="24"/>
  <c r="H3884" i="24"/>
  <c r="H3885" i="24"/>
  <c r="H3886" i="24"/>
  <c r="H3887" i="24"/>
  <c r="H3888" i="24"/>
  <c r="H3889" i="24"/>
  <c r="H3890" i="24"/>
  <c r="H3891" i="24"/>
  <c r="H3892" i="24"/>
  <c r="H3893" i="24"/>
  <c r="H3894" i="24"/>
  <c r="H3896" i="24"/>
  <c r="H3897" i="24"/>
  <c r="H3898" i="24"/>
  <c r="H3899" i="24"/>
  <c r="H3900" i="24"/>
  <c r="H3901" i="24"/>
  <c r="H3902" i="24"/>
  <c r="H3903" i="24"/>
  <c r="H3904" i="24"/>
  <c r="H3905" i="24"/>
  <c r="H3906" i="24"/>
  <c r="H3907" i="24"/>
  <c r="H3908" i="24"/>
  <c r="H3909" i="24"/>
  <c r="H3910" i="24"/>
  <c r="H3911" i="24"/>
  <c r="H3912" i="24"/>
  <c r="H3913" i="24"/>
  <c r="H3914" i="24"/>
  <c r="H3915" i="24"/>
  <c r="H3916" i="24"/>
  <c r="H3917" i="24"/>
  <c r="H3918" i="24"/>
  <c r="H3919" i="24"/>
  <c r="H3920" i="24"/>
  <c r="H3921" i="24"/>
  <c r="H3922" i="24"/>
  <c r="H3923" i="24"/>
  <c r="H3924" i="24"/>
  <c r="H3925" i="24"/>
  <c r="H3926" i="24"/>
  <c r="H3927" i="24"/>
  <c r="H3928" i="24"/>
  <c r="H3929" i="24"/>
  <c r="H3931" i="24"/>
  <c r="H3932" i="24"/>
  <c r="H3933" i="24"/>
  <c r="H3934" i="24"/>
  <c r="H3935" i="24"/>
  <c r="H3936" i="24"/>
  <c r="H3937" i="24"/>
  <c r="H3938" i="24"/>
  <c r="H3939" i="24"/>
  <c r="H3940" i="24"/>
  <c r="H3941" i="24"/>
  <c r="H3942" i="24"/>
  <c r="H3943" i="24"/>
  <c r="H3944" i="24"/>
  <c r="H3945" i="24"/>
  <c r="H3946" i="24"/>
  <c r="H3947" i="24"/>
  <c r="H3948" i="24"/>
  <c r="H3949" i="24"/>
  <c r="H3950" i="24"/>
  <c r="H3951" i="24"/>
  <c r="H3952" i="24"/>
  <c r="H3953" i="24"/>
  <c r="H3954" i="24"/>
  <c r="H3955" i="24"/>
  <c r="H3956" i="24"/>
  <c r="H3957" i="24"/>
  <c r="H3958" i="24"/>
  <c r="H3959" i="24"/>
  <c r="H3960" i="24"/>
  <c r="H3961" i="24"/>
  <c r="H3962" i="24"/>
  <c r="H3963" i="24"/>
  <c r="H3964" i="24"/>
  <c r="H3966" i="24"/>
  <c r="H3968" i="24"/>
  <c r="H3970" i="24"/>
  <c r="H3971" i="24"/>
  <c r="H3972" i="24"/>
  <c r="H3974" i="24"/>
  <c r="H3975" i="24"/>
  <c r="H3976" i="24"/>
  <c r="H3977" i="24"/>
  <c r="H3978" i="24"/>
  <c r="H3979" i="24"/>
  <c r="H3980" i="24"/>
  <c r="H3981" i="24"/>
  <c r="H3982" i="24"/>
  <c r="H3983" i="24"/>
  <c r="H3984" i="24"/>
  <c r="H3985" i="24"/>
  <c r="H3986" i="24"/>
  <c r="H3987" i="24"/>
  <c r="H3988" i="24"/>
  <c r="H3989" i="24"/>
  <c r="H3990" i="24"/>
  <c r="H3991" i="24"/>
  <c r="H3992" i="24"/>
  <c r="H3993" i="24"/>
  <c r="H3994" i="24"/>
  <c r="H3995" i="24"/>
  <c r="H3996" i="24"/>
  <c r="H3997" i="24"/>
  <c r="H3998" i="24"/>
  <c r="H3999" i="24"/>
  <c r="H4001" i="24"/>
  <c r="H4002" i="24"/>
  <c r="H4003" i="24"/>
  <c r="H4004" i="24"/>
  <c r="H4005" i="24"/>
  <c r="H4006" i="24"/>
  <c r="H4007" i="24"/>
  <c r="H4008" i="24"/>
  <c r="H4009" i="24"/>
  <c r="H4010" i="24"/>
  <c r="H4011" i="24"/>
  <c r="H4012" i="24"/>
  <c r="H4013" i="24"/>
  <c r="H4014" i="24"/>
  <c r="H4015" i="24"/>
  <c r="H4016" i="24"/>
  <c r="H4017" i="24"/>
  <c r="H4018" i="24"/>
  <c r="H4019" i="24"/>
  <c r="H4020" i="24"/>
  <c r="H4021" i="24"/>
  <c r="H4022" i="24"/>
  <c r="H4023" i="24"/>
  <c r="H4024" i="24"/>
  <c r="H4025" i="24"/>
  <c r="H4026" i="24"/>
  <c r="H4027" i="24"/>
  <c r="H4028" i="24"/>
  <c r="H4029" i="24"/>
  <c r="H4030" i="24"/>
  <c r="H4031" i="24"/>
  <c r="H4032" i="24"/>
  <c r="H4034" i="24"/>
  <c r="H4035" i="24"/>
  <c r="H4036" i="24"/>
  <c r="H4037" i="24"/>
  <c r="H4038" i="24"/>
  <c r="H4039" i="24"/>
  <c r="H4040" i="24"/>
  <c r="H4041" i="24"/>
  <c r="H4042" i="24"/>
  <c r="H4043" i="24"/>
  <c r="H4044" i="24"/>
  <c r="H4045" i="24"/>
  <c r="H4046" i="24"/>
  <c r="H4047" i="24"/>
  <c r="H4048" i="24"/>
  <c r="H4049" i="24"/>
  <c r="H4050" i="24"/>
  <c r="H4051" i="24"/>
  <c r="H4052" i="24"/>
  <c r="H4053" i="24"/>
  <c r="H4054" i="24"/>
  <c r="H4055" i="24"/>
  <c r="H4056" i="24"/>
  <c r="H4057" i="24"/>
  <c r="H4058" i="24"/>
  <c r="H4059" i="24"/>
  <c r="H4060" i="24"/>
  <c r="H4061" i="24"/>
  <c r="H4062" i="24"/>
  <c r="H4063" i="24"/>
  <c r="H4064" i="24"/>
  <c r="H4065" i="24"/>
  <c r="H4066" i="24"/>
  <c r="H4067" i="24"/>
  <c r="H4069" i="24"/>
  <c r="H4070" i="24"/>
  <c r="H4071" i="24"/>
  <c r="H4072" i="24"/>
  <c r="H4073" i="24"/>
  <c r="H4074" i="24"/>
  <c r="H4075" i="24"/>
  <c r="H4076" i="24"/>
  <c r="H4077" i="24"/>
  <c r="H4078" i="24"/>
  <c r="H4079" i="24"/>
  <c r="H4080" i="24"/>
  <c r="H4081" i="24"/>
  <c r="H4082" i="24"/>
  <c r="H4083" i="24"/>
  <c r="H4084" i="24"/>
  <c r="H4085" i="24"/>
  <c r="H4086" i="24"/>
  <c r="H4087" i="24"/>
  <c r="H4088" i="24"/>
  <c r="H4089" i="24"/>
  <c r="H4090" i="24"/>
  <c r="H4091" i="24"/>
  <c r="H4092" i="24"/>
  <c r="H4093" i="24"/>
  <c r="H4094" i="24"/>
  <c r="H4095" i="24"/>
  <c r="H4096" i="24"/>
  <c r="H4097" i="24"/>
  <c r="H4098" i="24"/>
  <c r="H4099" i="24"/>
  <c r="H4100" i="24"/>
  <c r="H4101" i="24"/>
  <c r="H4102" i="24"/>
  <c r="H4103" i="24"/>
  <c r="H4104" i="24"/>
  <c r="H4105" i="24"/>
  <c r="H4106" i="24"/>
  <c r="H4107" i="24"/>
  <c r="H4108" i="24"/>
  <c r="H4109" i="24"/>
  <c r="H4110" i="24"/>
  <c r="H4111" i="24"/>
  <c r="H4112" i="24"/>
  <c r="H4113" i="24"/>
  <c r="H4114" i="24"/>
  <c r="H4115" i="24"/>
  <c r="H4116" i="24"/>
  <c r="H4117" i="24"/>
  <c r="H4118" i="24"/>
  <c r="H4119" i="24"/>
  <c r="H4120" i="24"/>
  <c r="H4121" i="24"/>
  <c r="H4122" i="24"/>
  <c r="H4123" i="24"/>
  <c r="H4124" i="24"/>
  <c r="H4125" i="24"/>
  <c r="H4126" i="24"/>
  <c r="H4127" i="24"/>
  <c r="H4128" i="24"/>
  <c r="H4129" i="24"/>
  <c r="H4130" i="24"/>
  <c r="H4131" i="24"/>
  <c r="H4132" i="24"/>
  <c r="H4133" i="24"/>
  <c r="H4134" i="24"/>
  <c r="H4135" i="24"/>
  <c r="H4136" i="24"/>
  <c r="H4137" i="24"/>
  <c r="H4138" i="24"/>
  <c r="H4139" i="24"/>
  <c r="H4140" i="24"/>
  <c r="H4141" i="24"/>
  <c r="H4142" i="24"/>
  <c r="H4143" i="24"/>
  <c r="H4144" i="24"/>
  <c r="H4145" i="24"/>
  <c r="H4146" i="24"/>
  <c r="H4147" i="24"/>
  <c r="H4148" i="24"/>
  <c r="H4149" i="24"/>
  <c r="H4150" i="24"/>
  <c r="H4151" i="24"/>
  <c r="H4152" i="24"/>
  <c r="H4153" i="24"/>
  <c r="H4154" i="24"/>
  <c r="H4155" i="24"/>
  <c r="H4156" i="24"/>
  <c r="H4157" i="24"/>
  <c r="H4158" i="24"/>
  <c r="H4159" i="24"/>
  <c r="H4160" i="24"/>
  <c r="H4162" i="24"/>
  <c r="H4165" i="24"/>
  <c r="BJ23" i="12"/>
  <c r="AS24" i="12"/>
  <c r="C705" i="24"/>
  <c r="I705" i="24"/>
  <c r="C704" i="24"/>
  <c r="H704" i="24"/>
  <c r="C703" i="24"/>
  <c r="H703" i="24"/>
  <c r="C702" i="24"/>
  <c r="I702" i="24"/>
  <c r="T287" i="1"/>
  <c r="AS122" i="12"/>
  <c r="AS124" i="12"/>
  <c r="AR23" i="12"/>
  <c r="BI16" i="12"/>
  <c r="BI36" i="12"/>
  <c r="AR36" i="12"/>
  <c r="BI19" i="12"/>
  <c r="BH19" i="12"/>
  <c r="CC19" i="12"/>
  <c r="AR19" i="12"/>
  <c r="BI31" i="12"/>
  <c r="AR31" i="12"/>
  <c r="BI29" i="12"/>
  <c r="AR29" i="12"/>
  <c r="BH18" i="12"/>
  <c r="E3739" i="24"/>
  <c r="H3739" i="24"/>
  <c r="C3739" i="24"/>
  <c r="D1032" i="24"/>
  <c r="C1032" i="24"/>
  <c r="E937" i="24"/>
  <c r="C937" i="24"/>
  <c r="E2054" i="24"/>
  <c r="C2054" i="24"/>
  <c r="E1540" i="24"/>
  <c r="D343" i="24"/>
  <c r="C343" i="24"/>
  <c r="H343" i="24"/>
  <c r="D342" i="24"/>
  <c r="D434" i="24"/>
  <c r="C342" i="24"/>
  <c r="O14" i="1"/>
  <c r="T220" i="1"/>
  <c r="D367" i="24"/>
  <c r="C367" i="24"/>
  <c r="C3707" i="24"/>
  <c r="D3707" i="24"/>
  <c r="BU82" i="12"/>
  <c r="E3707" i="24"/>
  <c r="C3027" i="24"/>
  <c r="E2352" i="24"/>
  <c r="BX43" i="12"/>
  <c r="BI42" i="12"/>
  <c r="AR42" i="12"/>
  <c r="BI66" i="12"/>
  <c r="AR66" i="12"/>
  <c r="BI89" i="12"/>
  <c r="BI88" i="12"/>
  <c r="BI86" i="12"/>
  <c r="BI85" i="12"/>
  <c r="BI79" i="12"/>
  <c r="BH79" i="12"/>
  <c r="BI78" i="12"/>
  <c r="BI74" i="12"/>
  <c r="BI72" i="12"/>
  <c r="BI70" i="12"/>
  <c r="BH70" i="12"/>
  <c r="BI64" i="12"/>
  <c r="BI58" i="12"/>
  <c r="BI57" i="12"/>
  <c r="BI56" i="12"/>
  <c r="BH56" i="12"/>
  <c r="BI55" i="12"/>
  <c r="BI49" i="12"/>
  <c r="BI39" i="12"/>
  <c r="BI37" i="12"/>
  <c r="BI34" i="12"/>
  <c r="BI33" i="12"/>
  <c r="BI32" i="12"/>
  <c r="BI28" i="12"/>
  <c r="BI27" i="12"/>
  <c r="BI20" i="12"/>
  <c r="AR89" i="12"/>
  <c r="AR88" i="12"/>
  <c r="AQ88" i="12"/>
  <c r="AR84" i="12"/>
  <c r="AR78" i="12"/>
  <c r="AR73" i="12"/>
  <c r="AR72" i="12"/>
  <c r="AR70" i="12"/>
  <c r="AR69" i="12"/>
  <c r="AR68" i="12"/>
  <c r="AR67" i="12"/>
  <c r="AR65" i="12"/>
  <c r="AR64" i="12"/>
  <c r="AR63" i="12"/>
  <c r="AR62" i="12"/>
  <c r="AQ62" i="12"/>
  <c r="AR57" i="12"/>
  <c r="AR56" i="12"/>
  <c r="AR55" i="12"/>
  <c r="AQ55" i="12"/>
  <c r="AR51" i="12"/>
  <c r="AR47" i="12"/>
  <c r="AR46" i="12"/>
  <c r="AR43" i="12"/>
  <c r="AR39" i="12"/>
  <c r="AR37" i="12"/>
  <c r="AR34" i="12"/>
  <c r="AR33" i="12"/>
  <c r="AR32" i="12"/>
  <c r="AR28" i="12"/>
  <c r="AQ28" i="12"/>
  <c r="AR27" i="12"/>
  <c r="AR24" i="12"/>
  <c r="AR20" i="12"/>
  <c r="T16" i="1"/>
  <c r="V16" i="1"/>
  <c r="T18" i="1"/>
  <c r="V18" i="1"/>
  <c r="T19" i="1"/>
  <c r="V19" i="1"/>
  <c r="T20" i="1"/>
  <c r="V20" i="1"/>
  <c r="T22" i="1"/>
  <c r="V22" i="1"/>
  <c r="T24" i="1"/>
  <c r="V24" i="1"/>
  <c r="T29" i="1"/>
  <c r="V29" i="1"/>
  <c r="T34" i="1"/>
  <c r="V34" i="1"/>
  <c r="T35" i="1"/>
  <c r="V35" i="1"/>
  <c r="T36" i="1"/>
  <c r="V36" i="1"/>
  <c r="T37" i="1"/>
  <c r="V37" i="1"/>
  <c r="T38" i="1"/>
  <c r="V38" i="1"/>
  <c r="T39" i="1"/>
  <c r="V39" i="1"/>
  <c r="T40" i="1"/>
  <c r="V40" i="1"/>
  <c r="T41" i="1"/>
  <c r="V41" i="1"/>
  <c r="T42" i="1"/>
  <c r="V42" i="1"/>
  <c r="T44" i="1"/>
  <c r="V44" i="1"/>
  <c r="T47" i="1"/>
  <c r="V47" i="1"/>
  <c r="T48" i="1"/>
  <c r="V48" i="1"/>
  <c r="T49" i="1"/>
  <c r="V49" i="1"/>
  <c r="T50" i="1"/>
  <c r="V50" i="1"/>
  <c r="T51" i="1"/>
  <c r="V51" i="1"/>
  <c r="T52" i="1"/>
  <c r="T57" i="1"/>
  <c r="V57" i="1"/>
  <c r="T58" i="1"/>
  <c r="V58" i="1"/>
  <c r="T61" i="1"/>
  <c r="V61" i="1"/>
  <c r="T62" i="1"/>
  <c r="V62" i="1"/>
  <c r="T63" i="1"/>
  <c r="V63" i="1"/>
  <c r="T64" i="1"/>
  <c r="V64" i="1"/>
  <c r="T67" i="1"/>
  <c r="V67" i="1"/>
  <c r="T68" i="1"/>
  <c r="V68" i="1"/>
  <c r="T70" i="1"/>
  <c r="V70" i="1"/>
  <c r="T71" i="1"/>
  <c r="V71" i="1"/>
  <c r="T73" i="1"/>
  <c r="V73" i="1"/>
  <c r="T74" i="1"/>
  <c r="V74" i="1"/>
  <c r="T75" i="1"/>
  <c r="V75" i="1"/>
  <c r="T78" i="1"/>
  <c r="V78" i="1"/>
  <c r="T79" i="1"/>
  <c r="V79" i="1"/>
  <c r="T80" i="1"/>
  <c r="V80" i="1"/>
  <c r="T81" i="1"/>
  <c r="V81" i="1"/>
  <c r="T85" i="1"/>
  <c r="V85" i="1"/>
  <c r="T86" i="1"/>
  <c r="V86" i="1"/>
  <c r="T87" i="1"/>
  <c r="V87" i="1"/>
  <c r="T89" i="1"/>
  <c r="V89" i="1"/>
  <c r="T90" i="1"/>
  <c r="V90" i="1"/>
  <c r="T91" i="1"/>
  <c r="T92" i="1"/>
  <c r="V92" i="1"/>
  <c r="T94" i="1"/>
  <c r="V94" i="1"/>
  <c r="T96" i="1"/>
  <c r="V96" i="1"/>
  <c r="T97" i="1"/>
  <c r="V97" i="1"/>
  <c r="T98" i="1"/>
  <c r="V98" i="1"/>
  <c r="T99" i="1"/>
  <c r="V99" i="1"/>
  <c r="T101" i="1"/>
  <c r="V101" i="1"/>
  <c r="T102" i="1"/>
  <c r="V102" i="1"/>
  <c r="T104" i="1"/>
  <c r="V104" i="1"/>
  <c r="T105" i="1"/>
  <c r="V105" i="1"/>
  <c r="T108" i="1"/>
  <c r="V108" i="1"/>
  <c r="T110" i="1"/>
  <c r="V110" i="1"/>
  <c r="T111" i="1"/>
  <c r="V111" i="1"/>
  <c r="T113" i="1"/>
  <c r="V113" i="1"/>
  <c r="T114" i="1"/>
  <c r="V114" i="1"/>
  <c r="T115" i="1"/>
  <c r="V115" i="1"/>
  <c r="T116" i="1"/>
  <c r="V116" i="1"/>
  <c r="T120" i="1"/>
  <c r="V120" i="1"/>
  <c r="T121" i="1"/>
  <c r="V121" i="1"/>
  <c r="T123" i="1"/>
  <c r="V123" i="1"/>
  <c r="T124" i="1"/>
  <c r="V124" i="1"/>
  <c r="T129" i="1"/>
  <c r="T130" i="1"/>
  <c r="V130" i="1"/>
  <c r="T131" i="1"/>
  <c r="V131" i="1"/>
  <c r="T132" i="1"/>
  <c r="V132" i="1"/>
  <c r="T133" i="1"/>
  <c r="T134" i="1"/>
  <c r="V134" i="1"/>
  <c r="T136" i="1"/>
  <c r="V136" i="1"/>
  <c r="T137" i="1"/>
  <c r="V137" i="1"/>
  <c r="T139" i="1"/>
  <c r="V139" i="1"/>
  <c r="T140" i="1"/>
  <c r="V140" i="1"/>
  <c r="T142" i="1"/>
  <c r="V142" i="1"/>
  <c r="T143" i="1"/>
  <c r="V143" i="1"/>
  <c r="T144" i="1"/>
  <c r="V144" i="1"/>
  <c r="T151" i="1"/>
  <c r="V151" i="1"/>
  <c r="T152" i="1"/>
  <c r="V152" i="1"/>
  <c r="T153" i="1"/>
  <c r="V153" i="1"/>
  <c r="T155" i="1"/>
  <c r="V155" i="1"/>
  <c r="T156" i="1"/>
  <c r="V156" i="1"/>
  <c r="T157" i="1"/>
  <c r="V157" i="1"/>
  <c r="T160" i="1"/>
  <c r="V160" i="1"/>
  <c r="T162" i="1"/>
  <c r="V162" i="1"/>
  <c r="T163" i="1"/>
  <c r="V163" i="1"/>
  <c r="T165" i="1"/>
  <c r="V165" i="1"/>
  <c r="T166" i="1"/>
  <c r="V166" i="1"/>
  <c r="T168" i="1"/>
  <c r="V168" i="1"/>
  <c r="T169" i="1"/>
  <c r="V169" i="1"/>
  <c r="T170" i="1"/>
  <c r="V170" i="1"/>
  <c r="T172" i="1"/>
  <c r="V172" i="1"/>
  <c r="T173" i="1"/>
  <c r="V173" i="1"/>
  <c r="T174" i="1"/>
  <c r="V174" i="1"/>
  <c r="T176" i="1"/>
  <c r="V176" i="1"/>
  <c r="T177" i="1"/>
  <c r="V177" i="1"/>
  <c r="T179" i="1"/>
  <c r="V179" i="1"/>
  <c r="T181" i="1"/>
  <c r="V181" i="1"/>
  <c r="T182" i="1"/>
  <c r="V182" i="1"/>
  <c r="T183" i="1"/>
  <c r="V183" i="1"/>
  <c r="T186" i="1"/>
  <c r="T187" i="1"/>
  <c r="V187" i="1"/>
  <c r="T188" i="1"/>
  <c r="V188" i="1"/>
  <c r="T189" i="1"/>
  <c r="V189" i="1"/>
  <c r="T190" i="1"/>
  <c r="V191" i="1"/>
  <c r="T192" i="1"/>
  <c r="V192" i="1"/>
  <c r="T193" i="1"/>
  <c r="V193" i="1"/>
  <c r="T194" i="1"/>
  <c r="V194" i="1"/>
  <c r="T195" i="1"/>
  <c r="V195" i="1"/>
  <c r="T198" i="1"/>
  <c r="T199" i="1"/>
  <c r="T200" i="1"/>
  <c r="T202" i="1"/>
  <c r="T203" i="1"/>
  <c r="V203" i="1"/>
  <c r="T204" i="1"/>
  <c r="V204" i="1"/>
  <c r="T206" i="1"/>
  <c r="V206" i="1"/>
  <c r="T207" i="1"/>
  <c r="V207" i="1"/>
  <c r="T209" i="1"/>
  <c r="V209" i="1"/>
  <c r="T210" i="1"/>
  <c r="V210" i="1"/>
  <c r="T211" i="1"/>
  <c r="T214" i="1"/>
  <c r="V214" i="1"/>
  <c r="T216" i="1"/>
  <c r="V216" i="1"/>
  <c r="T218" i="1"/>
  <c r="V218" i="1"/>
  <c r="T222" i="1"/>
  <c r="V222" i="1"/>
  <c r="T223" i="1"/>
  <c r="V223" i="1"/>
  <c r="T224" i="1"/>
  <c r="V224" i="1"/>
  <c r="T226" i="1"/>
  <c r="V226" i="1"/>
  <c r="T227" i="1"/>
  <c r="T229" i="1"/>
  <c r="T232" i="1"/>
  <c r="V232" i="1"/>
  <c r="T235" i="1"/>
  <c r="T236" i="1"/>
  <c r="V236" i="1"/>
  <c r="T237" i="1"/>
  <c r="V237" i="1"/>
  <c r="T238" i="1"/>
  <c r="V238" i="1"/>
  <c r="T243" i="1"/>
  <c r="V243" i="1"/>
  <c r="T245" i="1"/>
  <c r="V245" i="1"/>
  <c r="T248" i="1"/>
  <c r="V248" i="1"/>
  <c r="T249" i="1"/>
  <c r="V249" i="1"/>
  <c r="T252" i="1"/>
  <c r="V252" i="1"/>
  <c r="T253" i="1"/>
  <c r="V253" i="1"/>
  <c r="T254" i="1"/>
  <c r="V254" i="1"/>
  <c r="T255" i="1"/>
  <c r="V255" i="1"/>
  <c r="T257" i="1"/>
  <c r="V257" i="1"/>
  <c r="T261" i="1"/>
  <c r="V261" i="1"/>
  <c r="T262" i="1"/>
  <c r="T264" i="1"/>
  <c r="V264" i="1"/>
  <c r="T265" i="1"/>
  <c r="V265" i="1"/>
  <c r="T268" i="1"/>
  <c r="V268" i="1"/>
  <c r="T269" i="1"/>
  <c r="V269" i="1"/>
  <c r="T272" i="1"/>
  <c r="V272" i="1"/>
  <c r="T273" i="1"/>
  <c r="V273" i="1"/>
  <c r="T274" i="1"/>
  <c r="V274" i="1"/>
  <c r="T275" i="1"/>
  <c r="V275" i="1"/>
  <c r="T276" i="1"/>
  <c r="V276" i="1"/>
  <c r="T277" i="1"/>
  <c r="V277" i="1"/>
  <c r="T278" i="1"/>
  <c r="V278" i="1"/>
  <c r="T280" i="1"/>
  <c r="V280" i="1"/>
  <c r="T281" i="1"/>
  <c r="V281" i="1"/>
  <c r="T282" i="1"/>
  <c r="V282" i="1"/>
  <c r="T283" i="1"/>
  <c r="V283" i="1"/>
  <c r="T284" i="1"/>
  <c r="V284" i="1"/>
  <c r="T285" i="1"/>
  <c r="V285" i="1"/>
  <c r="T286" i="1"/>
  <c r="V286" i="1"/>
  <c r="F254" i="1"/>
  <c r="D16" i="20"/>
  <c r="D26" i="20"/>
  <c r="F139" i="27"/>
  <c r="I21" i="37"/>
  <c r="H21" i="37"/>
  <c r="I17" i="37"/>
  <c r="H17" i="37"/>
  <c r="I15" i="37"/>
  <c r="H15" i="37"/>
  <c r="I13" i="37"/>
  <c r="H13" i="37"/>
  <c r="I12" i="37"/>
  <c r="H12" i="37"/>
  <c r="I10" i="37"/>
  <c r="H10" i="37"/>
  <c r="I32" i="35"/>
  <c r="I15" i="35"/>
  <c r="I12" i="35"/>
  <c r="I10" i="35"/>
  <c r="H12" i="34"/>
  <c r="I12" i="34"/>
  <c r="H14" i="34"/>
  <c r="I14" i="34"/>
  <c r="H16" i="34"/>
  <c r="I16" i="34"/>
  <c r="H18" i="34"/>
  <c r="I18" i="34"/>
  <c r="I19" i="34"/>
  <c r="H21" i="34"/>
  <c r="I21" i="34"/>
  <c r="H23" i="34"/>
  <c r="I23" i="34"/>
  <c r="H25" i="34"/>
  <c r="I25" i="34"/>
  <c r="H27" i="34"/>
  <c r="I27" i="34"/>
  <c r="H29" i="34"/>
  <c r="I29" i="34"/>
  <c r="H9" i="32"/>
  <c r="H10" i="32"/>
  <c r="H12" i="32"/>
  <c r="H13" i="32"/>
  <c r="H15" i="32"/>
  <c r="H17" i="32"/>
  <c r="H19" i="32"/>
  <c r="H20" i="32"/>
  <c r="H21" i="32"/>
  <c r="H22" i="32"/>
  <c r="H25" i="32"/>
  <c r="H26" i="32"/>
  <c r="H28" i="32"/>
  <c r="H30" i="32"/>
  <c r="H33" i="32"/>
  <c r="H38" i="32"/>
  <c r="H42" i="32"/>
  <c r="H44" i="32"/>
  <c r="H45" i="32"/>
  <c r="H46" i="32"/>
  <c r="H47" i="32"/>
  <c r="H49" i="32"/>
  <c r="H50" i="32"/>
  <c r="H51" i="32"/>
  <c r="H52" i="32"/>
  <c r="H53" i="32"/>
  <c r="H54" i="32"/>
  <c r="H55" i="32"/>
  <c r="H56" i="32"/>
  <c r="H57" i="32"/>
  <c r="H58" i="32"/>
  <c r="H59" i="32"/>
  <c r="H61" i="32"/>
  <c r="H62" i="32"/>
  <c r="H80" i="32"/>
  <c r="H82" i="32"/>
  <c r="H84" i="32"/>
  <c r="H86" i="32"/>
  <c r="H89" i="32"/>
  <c r="H91" i="32"/>
  <c r="H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27" i="29"/>
  <c r="H28" i="29"/>
  <c r="H29" i="29"/>
  <c r="H30" i="29"/>
  <c r="H31" i="29"/>
  <c r="H32" i="29"/>
  <c r="H33" i="29"/>
  <c r="H34" i="29"/>
  <c r="H35" i="29"/>
  <c r="H36" i="29"/>
  <c r="H37" i="29"/>
  <c r="H38" i="29"/>
  <c r="H39" i="29"/>
  <c r="H40" i="29"/>
  <c r="H41" i="29"/>
  <c r="H42" i="29"/>
  <c r="H43" i="29"/>
  <c r="H44" i="29"/>
  <c r="H45" i="29"/>
  <c r="H46" i="29"/>
  <c r="H47" i="29"/>
  <c r="H48" i="29"/>
  <c r="H49" i="29"/>
  <c r="H50" i="29"/>
  <c r="H51" i="29"/>
  <c r="H52" i="29"/>
  <c r="H53" i="29"/>
  <c r="H54" i="29"/>
  <c r="H55" i="29"/>
  <c r="H56" i="29"/>
  <c r="H57" i="29"/>
  <c r="H58" i="29"/>
  <c r="H59" i="29"/>
  <c r="H60" i="29"/>
  <c r="H61" i="29"/>
  <c r="H62" i="29"/>
  <c r="H63" i="29"/>
  <c r="H64" i="29"/>
  <c r="H65" i="29"/>
  <c r="H66" i="29"/>
  <c r="H67" i="29"/>
  <c r="H68" i="29"/>
  <c r="H69" i="29"/>
  <c r="H70" i="29"/>
  <c r="H71" i="29"/>
  <c r="H72" i="29"/>
  <c r="H73" i="29"/>
  <c r="H74" i="29"/>
  <c r="H75" i="29"/>
  <c r="H76" i="29"/>
  <c r="H77" i="29"/>
  <c r="H78" i="29"/>
  <c r="H79" i="29"/>
  <c r="H80" i="29"/>
  <c r="H81" i="29"/>
  <c r="H82" i="29"/>
  <c r="H83" i="29"/>
  <c r="H84" i="29"/>
  <c r="H85" i="29"/>
  <c r="H86" i="29"/>
  <c r="H87" i="29"/>
  <c r="H88" i="29"/>
  <c r="H89" i="29"/>
  <c r="H90" i="29"/>
  <c r="H91" i="29"/>
  <c r="H92" i="29"/>
  <c r="H93" i="29"/>
  <c r="H94" i="29"/>
  <c r="H95" i="29"/>
  <c r="H97" i="29"/>
  <c r="H98" i="29"/>
  <c r="H99" i="29"/>
  <c r="H100" i="29"/>
  <c r="H101" i="29"/>
  <c r="H102" i="29"/>
  <c r="H103" i="29"/>
  <c r="H104" i="29"/>
  <c r="H105" i="29"/>
  <c r="H106" i="29"/>
  <c r="H107" i="29"/>
  <c r="H108" i="29"/>
  <c r="H109" i="29"/>
  <c r="H110" i="29"/>
  <c r="H111" i="29"/>
  <c r="H112" i="29"/>
  <c r="H113" i="29"/>
  <c r="H114" i="29"/>
  <c r="H115" i="29"/>
  <c r="H116" i="29"/>
  <c r="H117" i="29"/>
  <c r="H118" i="29"/>
  <c r="H119" i="29"/>
  <c r="H120" i="29"/>
  <c r="H121" i="29"/>
  <c r="H122" i="29"/>
  <c r="H123" i="29"/>
  <c r="H124" i="29"/>
  <c r="H126" i="29"/>
  <c r="H127" i="29"/>
  <c r="H128" i="29"/>
  <c r="H129" i="29"/>
  <c r="H130" i="29"/>
  <c r="H131" i="29"/>
  <c r="H132" i="29"/>
  <c r="H133" i="29"/>
  <c r="H134" i="29"/>
  <c r="H135" i="29"/>
  <c r="H136" i="29"/>
  <c r="H137" i="29"/>
  <c r="H138" i="29"/>
  <c r="H139" i="29"/>
  <c r="H140" i="29"/>
  <c r="H141" i="29"/>
  <c r="H142" i="29"/>
  <c r="H143" i="29"/>
  <c r="H144" i="29"/>
  <c r="H145" i="29"/>
  <c r="H146" i="29"/>
  <c r="H147" i="29"/>
  <c r="H148" i="29"/>
  <c r="H149" i="29"/>
  <c r="H150" i="29"/>
  <c r="H151" i="29"/>
  <c r="H152" i="29"/>
  <c r="H153" i="29"/>
  <c r="H154" i="29"/>
  <c r="H155" i="29"/>
  <c r="H156" i="29"/>
  <c r="H157" i="29"/>
  <c r="H159" i="29"/>
  <c r="H160" i="29"/>
  <c r="H161" i="29"/>
  <c r="H162" i="29"/>
  <c r="H163" i="29"/>
  <c r="H164" i="29"/>
  <c r="H165" i="29"/>
  <c r="H166" i="29"/>
  <c r="H167" i="29"/>
  <c r="H168" i="29"/>
  <c r="H169" i="29"/>
  <c r="H170" i="29"/>
  <c r="H171" i="29"/>
  <c r="H172" i="29"/>
  <c r="H173" i="29"/>
  <c r="H174" i="29"/>
  <c r="H175" i="29"/>
  <c r="H176" i="29"/>
  <c r="H177" i="29"/>
  <c r="H178" i="29"/>
  <c r="H179" i="29"/>
  <c r="H180" i="29"/>
  <c r="H181" i="29"/>
  <c r="H182" i="29"/>
  <c r="H183" i="29"/>
  <c r="H184" i="29"/>
  <c r="H185" i="29"/>
  <c r="H186" i="29"/>
  <c r="H187" i="29"/>
  <c r="H188" i="29"/>
  <c r="H189" i="29"/>
  <c r="H190" i="29"/>
  <c r="H191" i="29"/>
  <c r="H192" i="29"/>
  <c r="H193" i="29"/>
  <c r="H194" i="29"/>
  <c r="H195" i="29"/>
  <c r="H196" i="29"/>
  <c r="H197" i="29"/>
  <c r="H198" i="29"/>
  <c r="H199" i="29"/>
  <c r="H200" i="29"/>
  <c r="H203" i="29"/>
  <c r="H204" i="29"/>
  <c r="H205" i="29"/>
  <c r="H206" i="29"/>
  <c r="H207" i="29"/>
  <c r="H208" i="29"/>
  <c r="H209" i="29"/>
  <c r="H210" i="29"/>
  <c r="H211" i="29"/>
  <c r="H212" i="29"/>
  <c r="H213" i="29"/>
  <c r="H214" i="29"/>
  <c r="H215" i="29"/>
  <c r="H216" i="29"/>
  <c r="H217" i="29"/>
  <c r="H218" i="29"/>
  <c r="H219" i="29"/>
  <c r="H220" i="29"/>
  <c r="H221" i="29"/>
  <c r="H222" i="29"/>
  <c r="H223" i="29"/>
  <c r="H224" i="29"/>
  <c r="H225" i="29"/>
  <c r="H226" i="29"/>
  <c r="H227" i="29"/>
  <c r="H228" i="29"/>
  <c r="H229" i="29"/>
  <c r="H230" i="29"/>
  <c r="H231" i="29"/>
  <c r="H232" i="29"/>
  <c r="H233" i="29"/>
  <c r="H234" i="29"/>
  <c r="H235" i="29"/>
  <c r="H236" i="29"/>
  <c r="H237" i="29"/>
  <c r="H238" i="29"/>
  <c r="H239" i="29"/>
  <c r="H240" i="29"/>
  <c r="H241" i="29"/>
  <c r="H242" i="29"/>
  <c r="H243" i="29"/>
  <c r="H245" i="29"/>
  <c r="H246" i="29"/>
  <c r="H247" i="29"/>
  <c r="H248" i="29"/>
  <c r="H249" i="29"/>
  <c r="H250" i="29"/>
  <c r="H251" i="29"/>
  <c r="H252" i="29"/>
  <c r="H253" i="29"/>
  <c r="H254" i="29"/>
  <c r="H255" i="29"/>
  <c r="H256" i="29"/>
  <c r="H257" i="29"/>
  <c r="H258" i="29"/>
  <c r="H259" i="29"/>
  <c r="H260" i="29"/>
  <c r="H261" i="29"/>
  <c r="H262" i="29"/>
  <c r="H263" i="29"/>
  <c r="H264" i="29"/>
  <c r="H265" i="29"/>
  <c r="H266" i="29"/>
  <c r="H267" i="29"/>
  <c r="H268" i="29"/>
  <c r="H269" i="29"/>
  <c r="H270" i="29"/>
  <c r="H271" i="29"/>
  <c r="H272" i="29"/>
  <c r="H273" i="29"/>
  <c r="H274" i="29"/>
  <c r="H275" i="29"/>
  <c r="H276" i="29"/>
  <c r="H277" i="29"/>
  <c r="H278" i="29"/>
  <c r="H279" i="29"/>
  <c r="H280" i="29"/>
  <c r="H281" i="29"/>
  <c r="H282" i="29"/>
  <c r="H283" i="29"/>
  <c r="H284" i="29"/>
  <c r="H285" i="29"/>
  <c r="H286" i="29"/>
  <c r="H287" i="29"/>
  <c r="H288" i="29"/>
  <c r="H289" i="29"/>
  <c r="H290" i="29"/>
  <c r="H291" i="29"/>
  <c r="H292" i="29"/>
  <c r="H293" i="29"/>
  <c r="H294" i="29"/>
  <c r="H295" i="29"/>
  <c r="H296" i="29"/>
  <c r="H300" i="29"/>
  <c r="H301" i="29"/>
  <c r="H302" i="29"/>
  <c r="H303" i="29"/>
  <c r="H304" i="29"/>
  <c r="H305" i="29"/>
  <c r="H306" i="29"/>
  <c r="H307" i="29"/>
  <c r="H308" i="29"/>
  <c r="H309" i="29"/>
  <c r="H310" i="29"/>
  <c r="H311" i="29"/>
  <c r="H312" i="29"/>
  <c r="H313" i="29"/>
  <c r="H314" i="29"/>
  <c r="H315" i="29"/>
  <c r="H316" i="29"/>
  <c r="H317" i="29"/>
  <c r="H318" i="29"/>
  <c r="H319" i="29"/>
  <c r="H320" i="29"/>
  <c r="H321" i="29"/>
  <c r="H322" i="29"/>
  <c r="H323" i="29"/>
  <c r="H324" i="29"/>
  <c r="H325" i="29"/>
  <c r="H326" i="29"/>
  <c r="H328" i="29"/>
  <c r="H329" i="29"/>
  <c r="H330" i="29"/>
  <c r="H331" i="29"/>
  <c r="H332" i="29"/>
  <c r="H333" i="29"/>
  <c r="H334" i="29"/>
  <c r="H335" i="29"/>
  <c r="H336" i="29"/>
  <c r="H337" i="29"/>
  <c r="H338" i="29"/>
  <c r="H339" i="29"/>
  <c r="H340" i="29"/>
  <c r="H341" i="29"/>
  <c r="H342" i="29"/>
  <c r="H343" i="29"/>
  <c r="H344" i="29"/>
  <c r="H345" i="29"/>
  <c r="H346" i="29"/>
  <c r="H347" i="29"/>
  <c r="H348" i="29"/>
  <c r="H349" i="29"/>
  <c r="H350" i="29"/>
  <c r="H351" i="29"/>
  <c r="H352" i="29"/>
  <c r="H353" i="29"/>
  <c r="H354" i="29"/>
  <c r="H355" i="29"/>
  <c r="H356" i="29"/>
  <c r="H357" i="29"/>
  <c r="H358" i="29"/>
  <c r="H359" i="29"/>
  <c r="H360" i="29"/>
  <c r="H361" i="29"/>
  <c r="H362" i="29"/>
  <c r="H363" i="29"/>
  <c r="H364" i="29"/>
  <c r="H365" i="29"/>
  <c r="H366" i="29"/>
  <c r="H367" i="29"/>
  <c r="H368" i="29"/>
  <c r="H369" i="29"/>
  <c r="H370" i="29"/>
  <c r="H371" i="29"/>
  <c r="H373" i="29"/>
  <c r="H374" i="29"/>
  <c r="H375" i="29"/>
  <c r="H376" i="29"/>
  <c r="H377" i="29"/>
  <c r="H378" i="29"/>
  <c r="H379" i="29"/>
  <c r="H380" i="29"/>
  <c r="H381" i="29"/>
  <c r="H382" i="29"/>
  <c r="H383" i="29"/>
  <c r="H384" i="29"/>
  <c r="H385" i="29"/>
  <c r="H386" i="29"/>
  <c r="H387" i="29"/>
  <c r="H388" i="29"/>
  <c r="H389" i="29"/>
  <c r="H390" i="29"/>
  <c r="H391" i="29"/>
  <c r="H392" i="29"/>
  <c r="H393" i="29"/>
  <c r="H394" i="29"/>
  <c r="H395" i="29"/>
  <c r="H396" i="29"/>
  <c r="H397" i="29"/>
  <c r="H398" i="29"/>
  <c r="H399" i="29"/>
  <c r="H400" i="29"/>
  <c r="H401" i="29"/>
  <c r="H402" i="29"/>
  <c r="H403" i="29"/>
  <c r="H404" i="29"/>
  <c r="H405" i="29"/>
  <c r="H406" i="29"/>
  <c r="H407" i="29"/>
  <c r="H408" i="29"/>
  <c r="H409" i="29"/>
  <c r="H410" i="29"/>
  <c r="H411" i="29"/>
  <c r="H412" i="29"/>
  <c r="H414" i="29"/>
  <c r="H415" i="29"/>
  <c r="H416" i="29"/>
  <c r="H417" i="29"/>
  <c r="H418" i="29"/>
  <c r="H419" i="29"/>
  <c r="H420" i="29"/>
  <c r="H421" i="29"/>
  <c r="H422" i="29"/>
  <c r="H423" i="29"/>
  <c r="H424" i="29"/>
  <c r="H425" i="29"/>
  <c r="H426" i="29"/>
  <c r="H427" i="29"/>
  <c r="H428" i="29"/>
  <c r="H429" i="29"/>
  <c r="H430" i="29"/>
  <c r="H431" i="29"/>
  <c r="H432" i="29"/>
  <c r="H433" i="29"/>
  <c r="H434" i="29"/>
  <c r="H435" i="29"/>
  <c r="H436" i="29"/>
  <c r="H437" i="29"/>
  <c r="H438" i="29"/>
  <c r="H439" i="29"/>
  <c r="H440" i="29"/>
  <c r="H441" i="29"/>
  <c r="H442" i="29"/>
  <c r="H443" i="29"/>
  <c r="H444" i="29"/>
  <c r="H445" i="29"/>
  <c r="H447" i="29"/>
  <c r="H449" i="29"/>
  <c r="H450" i="29"/>
  <c r="H451" i="29"/>
  <c r="H452" i="29"/>
  <c r="H453" i="29"/>
  <c r="H454" i="29"/>
  <c r="H455" i="29"/>
  <c r="H456" i="29"/>
  <c r="H457" i="29"/>
  <c r="H458" i="29"/>
  <c r="H459" i="29"/>
  <c r="H460" i="29"/>
  <c r="H461" i="29"/>
  <c r="H462" i="29"/>
  <c r="H463" i="29"/>
  <c r="H464" i="29"/>
  <c r="H465" i="29"/>
  <c r="H466" i="29"/>
  <c r="H467" i="29"/>
  <c r="H468" i="29"/>
  <c r="H469" i="29"/>
  <c r="H470" i="29"/>
  <c r="H471" i="29"/>
  <c r="H472" i="29"/>
  <c r="H473" i="29"/>
  <c r="H474" i="29"/>
  <c r="H475" i="29"/>
  <c r="H476" i="29"/>
  <c r="H477" i="29"/>
  <c r="H478" i="29"/>
  <c r="H479" i="29"/>
  <c r="H480" i="29"/>
  <c r="H481" i="29"/>
  <c r="H482" i="29"/>
  <c r="H483" i="29"/>
  <c r="H484" i="29"/>
  <c r="H485" i="29"/>
  <c r="H486" i="29"/>
  <c r="H487" i="29"/>
  <c r="H488" i="29"/>
  <c r="H489" i="29"/>
  <c r="H490" i="29"/>
  <c r="H491" i="29"/>
  <c r="H492" i="29"/>
  <c r="H493" i="29"/>
  <c r="H494" i="29"/>
  <c r="H495" i="29"/>
  <c r="H498" i="29"/>
  <c r="H499" i="29"/>
  <c r="H500" i="29"/>
  <c r="H501" i="29"/>
  <c r="H502" i="29"/>
  <c r="H503" i="29"/>
  <c r="H504" i="29"/>
  <c r="H505" i="29"/>
  <c r="H506" i="29"/>
  <c r="H507" i="29"/>
  <c r="H508" i="29"/>
  <c r="H509" i="29"/>
  <c r="H510" i="29"/>
  <c r="H511" i="29"/>
  <c r="H512" i="29"/>
  <c r="H513" i="29"/>
  <c r="H514" i="29"/>
  <c r="H515" i="29"/>
  <c r="H516" i="29"/>
  <c r="H517" i="29"/>
  <c r="H518" i="29"/>
  <c r="H519" i="29"/>
  <c r="H520" i="29"/>
  <c r="H521" i="29"/>
  <c r="H522" i="29"/>
  <c r="H523" i="29"/>
  <c r="H524" i="29"/>
  <c r="H525" i="29"/>
  <c r="H526" i="29"/>
  <c r="H527" i="29"/>
  <c r="H528" i="29"/>
  <c r="H529" i="29"/>
  <c r="H530" i="29"/>
  <c r="H531" i="29"/>
  <c r="H532" i="29"/>
  <c r="H533" i="29"/>
  <c r="H534" i="29"/>
  <c r="H536" i="29"/>
  <c r="H537" i="29"/>
  <c r="H538" i="29"/>
  <c r="H539" i="29"/>
  <c r="H540" i="29"/>
  <c r="H541" i="29"/>
  <c r="H542" i="29"/>
  <c r="H543" i="29"/>
  <c r="H544" i="29"/>
  <c r="H545" i="29"/>
  <c r="H546" i="29"/>
  <c r="H547" i="29"/>
  <c r="H548" i="29"/>
  <c r="H549" i="29"/>
  <c r="H550" i="29"/>
  <c r="H551" i="29"/>
  <c r="H552" i="29"/>
  <c r="H553" i="29"/>
  <c r="H554" i="29"/>
  <c r="H555" i="29"/>
  <c r="H556" i="29"/>
  <c r="H557" i="29"/>
  <c r="H558" i="29"/>
  <c r="H559" i="29"/>
  <c r="H560" i="29"/>
  <c r="H561" i="29"/>
  <c r="H562" i="29"/>
  <c r="H563" i="29"/>
  <c r="H564" i="29"/>
  <c r="H565" i="29"/>
  <c r="H566" i="29"/>
  <c r="H567" i="29"/>
  <c r="H568" i="29"/>
  <c r="H569" i="29"/>
  <c r="H570" i="29"/>
  <c r="H571" i="29"/>
  <c r="H572" i="29"/>
  <c r="H573" i="29"/>
  <c r="H574" i="29"/>
  <c r="H575" i="29"/>
  <c r="H576" i="29"/>
  <c r="H577" i="29"/>
  <c r="H578" i="29"/>
  <c r="H579" i="29"/>
  <c r="H580" i="29"/>
  <c r="H581" i="29"/>
  <c r="H582" i="29"/>
  <c r="H583" i="29"/>
  <c r="H584" i="29"/>
  <c r="H585" i="29"/>
  <c r="H586" i="29"/>
  <c r="H587" i="29"/>
  <c r="H588" i="29"/>
  <c r="H589" i="29"/>
  <c r="H590" i="29"/>
  <c r="H591" i="29"/>
  <c r="H592" i="29"/>
  <c r="H593" i="29"/>
  <c r="H594" i="29"/>
  <c r="H595" i="29"/>
  <c r="H596" i="29"/>
  <c r="H597" i="29"/>
  <c r="H598" i="29"/>
  <c r="H599" i="29"/>
  <c r="H600" i="29"/>
  <c r="H601" i="29"/>
  <c r="H602" i="29"/>
  <c r="H603" i="29"/>
  <c r="H604" i="29"/>
  <c r="H606" i="29"/>
  <c r="H607" i="29"/>
  <c r="H608" i="29"/>
  <c r="H609" i="29"/>
  <c r="H610" i="29"/>
  <c r="H611" i="29"/>
  <c r="H612" i="29"/>
  <c r="H613" i="29"/>
  <c r="H614" i="29"/>
  <c r="H615" i="29"/>
  <c r="H616" i="29"/>
  <c r="H617" i="29"/>
  <c r="H618" i="29"/>
  <c r="H619" i="29"/>
  <c r="H620" i="29"/>
  <c r="H621" i="29"/>
  <c r="H622" i="29"/>
  <c r="H623" i="29"/>
  <c r="H624" i="29"/>
  <c r="H625" i="29"/>
  <c r="H626" i="29"/>
  <c r="H628" i="29"/>
  <c r="H629" i="29"/>
  <c r="H630" i="29"/>
  <c r="H631" i="29"/>
  <c r="H632" i="29"/>
  <c r="H633" i="29"/>
  <c r="H634" i="29"/>
  <c r="H635" i="29"/>
  <c r="H636" i="29"/>
  <c r="H637" i="29"/>
  <c r="H638" i="29"/>
  <c r="H639" i="29"/>
  <c r="H640" i="29"/>
  <c r="H641" i="29"/>
  <c r="H642" i="29"/>
  <c r="H643" i="29"/>
  <c r="H644" i="29"/>
  <c r="H645" i="29"/>
  <c r="H646" i="29"/>
  <c r="H647" i="29"/>
  <c r="H648" i="29"/>
  <c r="H649" i="29"/>
  <c r="H650" i="29"/>
  <c r="H651" i="29"/>
  <c r="H652" i="29"/>
  <c r="H653" i="29"/>
  <c r="H654" i="29"/>
  <c r="H655" i="29"/>
  <c r="H656" i="29"/>
  <c r="H657" i="29"/>
  <c r="H658" i="29"/>
  <c r="H660" i="29"/>
  <c r="H661" i="29"/>
  <c r="H662" i="29"/>
  <c r="H663" i="29"/>
  <c r="H664" i="29"/>
  <c r="H665" i="29"/>
  <c r="H666" i="29"/>
  <c r="H667" i="29"/>
  <c r="H668" i="29"/>
  <c r="H669" i="29"/>
  <c r="H670" i="29"/>
  <c r="H671" i="29"/>
  <c r="H672" i="29"/>
  <c r="H673" i="29"/>
  <c r="H674" i="29"/>
  <c r="H675" i="29"/>
  <c r="H676" i="29"/>
  <c r="H677" i="29"/>
  <c r="H678" i="29"/>
  <c r="H679" i="29"/>
  <c r="H680" i="29"/>
  <c r="H681" i="29"/>
  <c r="H682" i="29"/>
  <c r="H683" i="29"/>
  <c r="H684" i="29"/>
  <c r="H685" i="29"/>
  <c r="H686" i="29"/>
  <c r="H687" i="29"/>
  <c r="H688" i="29"/>
  <c r="H689" i="29"/>
  <c r="H690" i="29"/>
  <c r="H691" i="29"/>
  <c r="H692" i="29"/>
  <c r="H693" i="29"/>
  <c r="H694" i="29"/>
  <c r="H695" i="29"/>
  <c r="H696" i="29"/>
  <c r="H697" i="29"/>
  <c r="H698" i="29"/>
  <c r="H699" i="29"/>
  <c r="H700" i="29"/>
  <c r="H701" i="29"/>
  <c r="H702" i="29"/>
  <c r="H704" i="29"/>
  <c r="H705" i="29"/>
  <c r="H706" i="29"/>
  <c r="H707" i="29"/>
  <c r="H708" i="29"/>
  <c r="H709" i="29"/>
  <c r="H710" i="29"/>
  <c r="H711" i="29"/>
  <c r="H712" i="29"/>
  <c r="H713" i="29"/>
  <c r="H714" i="29"/>
  <c r="H715" i="29"/>
  <c r="H716" i="29"/>
  <c r="H717" i="29"/>
  <c r="H718" i="29"/>
  <c r="H719" i="29"/>
  <c r="H720" i="29"/>
  <c r="H721" i="29"/>
  <c r="H722" i="29"/>
  <c r="H723" i="29"/>
  <c r="H724" i="29"/>
  <c r="H725" i="29"/>
  <c r="H726" i="29"/>
  <c r="H727" i="29"/>
  <c r="H728" i="29"/>
  <c r="H729" i="29"/>
  <c r="H730" i="29"/>
  <c r="H731" i="29"/>
  <c r="H732" i="29"/>
  <c r="H733" i="29"/>
  <c r="H734" i="29"/>
  <c r="H735" i="29"/>
  <c r="H736" i="29"/>
  <c r="H737" i="29"/>
  <c r="H738" i="29"/>
  <c r="H739" i="29"/>
  <c r="H740" i="29"/>
  <c r="H741" i="29"/>
  <c r="H742" i="29"/>
  <c r="H743" i="29"/>
  <c r="H744" i="29"/>
  <c r="H745" i="29"/>
  <c r="H746" i="29"/>
  <c r="H747" i="29"/>
  <c r="H750" i="29"/>
  <c r="H751" i="29"/>
  <c r="H752" i="29"/>
  <c r="H753" i="29"/>
  <c r="H754" i="29"/>
  <c r="H755" i="29"/>
  <c r="H756" i="29"/>
  <c r="H757" i="29"/>
  <c r="H758" i="29"/>
  <c r="H759" i="29"/>
  <c r="H760" i="29"/>
  <c r="H761" i="29"/>
  <c r="H762" i="29"/>
  <c r="H763" i="29"/>
  <c r="H764" i="29"/>
  <c r="H765" i="29"/>
  <c r="H766" i="29"/>
  <c r="H767" i="29"/>
  <c r="H768" i="29"/>
  <c r="H769" i="29"/>
  <c r="H770" i="29"/>
  <c r="H771" i="29"/>
  <c r="H772" i="29"/>
  <c r="H773" i="29"/>
  <c r="H774" i="29"/>
  <c r="H775" i="29"/>
  <c r="H776" i="29"/>
  <c r="H777" i="29"/>
  <c r="H778" i="29"/>
  <c r="H779" i="29"/>
  <c r="H780" i="29"/>
  <c r="H781" i="29"/>
  <c r="H782" i="29"/>
  <c r="H783" i="29"/>
  <c r="H784" i="29"/>
  <c r="H785" i="29"/>
  <c r="H787" i="29"/>
  <c r="H788" i="29"/>
  <c r="H789" i="29"/>
  <c r="H790" i="29"/>
  <c r="H791" i="29"/>
  <c r="H792" i="29"/>
  <c r="H793" i="29"/>
  <c r="H794" i="29"/>
  <c r="H795" i="29"/>
  <c r="H796" i="29"/>
  <c r="H797" i="29"/>
  <c r="H798" i="29"/>
  <c r="H799" i="29"/>
  <c r="H800" i="29"/>
  <c r="H801" i="29"/>
  <c r="H802" i="29"/>
  <c r="H803" i="29"/>
  <c r="H804" i="29"/>
  <c r="H805" i="29"/>
  <c r="H806" i="29"/>
  <c r="H807" i="29"/>
  <c r="H808" i="29"/>
  <c r="H809" i="29"/>
  <c r="H810" i="29"/>
  <c r="H811" i="29"/>
  <c r="H812" i="29"/>
  <c r="H813" i="29"/>
  <c r="H814" i="29"/>
  <c r="H815" i="29"/>
  <c r="H816" i="29"/>
  <c r="H817" i="29"/>
  <c r="H818" i="29"/>
  <c r="H819" i="29"/>
  <c r="H820" i="29"/>
  <c r="H821" i="29"/>
  <c r="H822" i="29"/>
  <c r="H823" i="29"/>
  <c r="H824" i="29"/>
  <c r="H825" i="29"/>
  <c r="H826" i="29"/>
  <c r="H827" i="29"/>
  <c r="H828" i="29"/>
  <c r="H829" i="29"/>
  <c r="H830" i="29"/>
  <c r="H831" i="29"/>
  <c r="H832" i="29"/>
  <c r="H833" i="29"/>
  <c r="H834" i="29"/>
  <c r="H835" i="29"/>
  <c r="H836" i="29"/>
  <c r="H837" i="29"/>
  <c r="H838" i="29"/>
  <c r="H839" i="29"/>
  <c r="H840" i="29"/>
  <c r="H841" i="29"/>
  <c r="H842" i="29"/>
  <c r="H843" i="29"/>
  <c r="H844" i="29"/>
  <c r="H845" i="29"/>
  <c r="H846" i="29"/>
  <c r="H847" i="29"/>
  <c r="H848" i="29"/>
  <c r="H849" i="29"/>
  <c r="H850" i="29"/>
  <c r="H851" i="29"/>
  <c r="H852" i="29"/>
  <c r="H853" i="29"/>
  <c r="H854" i="29"/>
  <c r="H855" i="29"/>
  <c r="H856" i="29"/>
  <c r="H857" i="29"/>
  <c r="H858" i="29"/>
  <c r="H859" i="29"/>
  <c r="H860" i="29"/>
  <c r="H861" i="29"/>
  <c r="H862" i="29"/>
  <c r="H863" i="29"/>
  <c r="H864" i="29"/>
  <c r="H865" i="29"/>
  <c r="H866" i="29"/>
  <c r="H867" i="29"/>
  <c r="H868" i="29"/>
  <c r="H869" i="29"/>
  <c r="H870" i="29"/>
  <c r="H871" i="29"/>
  <c r="H872" i="29"/>
  <c r="H873" i="29"/>
  <c r="H874" i="29"/>
  <c r="H875" i="29"/>
  <c r="H876" i="29"/>
  <c r="H877" i="29"/>
  <c r="H878" i="29"/>
  <c r="H879" i="29"/>
  <c r="H880" i="29"/>
  <c r="H881" i="29"/>
  <c r="H882" i="29"/>
  <c r="H883" i="29"/>
  <c r="H884" i="29"/>
  <c r="H885" i="29"/>
  <c r="H886" i="29"/>
  <c r="H887" i="29"/>
  <c r="H888" i="29"/>
  <c r="H889" i="29"/>
  <c r="H890" i="29"/>
  <c r="H891" i="29"/>
  <c r="H892" i="29"/>
  <c r="H893" i="29"/>
  <c r="H894" i="29"/>
  <c r="H895" i="29"/>
  <c r="H896" i="29"/>
  <c r="H897" i="29"/>
  <c r="H898" i="29"/>
  <c r="H899" i="29"/>
  <c r="H900" i="29"/>
  <c r="H901" i="29"/>
  <c r="H902" i="29"/>
  <c r="H903" i="29"/>
  <c r="H904" i="29"/>
  <c r="H905" i="29"/>
  <c r="H906" i="29"/>
  <c r="H907" i="29"/>
  <c r="H910" i="29"/>
  <c r="H911" i="29"/>
  <c r="H912" i="29"/>
  <c r="H913" i="29"/>
  <c r="H914" i="29"/>
  <c r="H915" i="29"/>
  <c r="H916" i="29"/>
  <c r="H917" i="29"/>
  <c r="H918" i="29"/>
  <c r="H919" i="29"/>
  <c r="H920" i="29"/>
  <c r="H921" i="29"/>
  <c r="H922" i="29"/>
  <c r="H923" i="29"/>
  <c r="H924" i="29"/>
  <c r="H925" i="29"/>
  <c r="H926" i="29"/>
  <c r="H927" i="29"/>
  <c r="H928" i="29"/>
  <c r="H929" i="29"/>
  <c r="H930" i="29"/>
  <c r="H931" i="29"/>
  <c r="H932" i="29"/>
  <c r="H933" i="29"/>
  <c r="H934" i="29"/>
  <c r="H935" i="29"/>
  <c r="H936" i="29"/>
  <c r="H937" i="29"/>
  <c r="H938" i="29"/>
  <c r="H939" i="29"/>
  <c r="H940" i="29"/>
  <c r="H941" i="29"/>
  <c r="H942" i="29"/>
  <c r="H944" i="29"/>
  <c r="H945" i="29"/>
  <c r="H946" i="29"/>
  <c r="H947" i="29"/>
  <c r="H948" i="29"/>
  <c r="H949" i="29"/>
  <c r="H950" i="29"/>
  <c r="H951" i="29"/>
  <c r="H952" i="29"/>
  <c r="H953" i="29"/>
  <c r="H954" i="29"/>
  <c r="H955" i="29"/>
  <c r="H956" i="29"/>
  <c r="H957" i="29"/>
  <c r="H958" i="29"/>
  <c r="H959" i="29"/>
  <c r="H960" i="29"/>
  <c r="H961" i="29"/>
  <c r="H962" i="29"/>
  <c r="H963" i="29"/>
  <c r="H964" i="29"/>
  <c r="H965" i="29"/>
  <c r="H966" i="29"/>
  <c r="H967" i="29"/>
  <c r="H968" i="29"/>
  <c r="H969" i="29"/>
  <c r="H970" i="29"/>
  <c r="H971" i="29"/>
  <c r="H972" i="29"/>
  <c r="H973" i="29"/>
  <c r="H974" i="29"/>
  <c r="H975" i="29"/>
  <c r="H976" i="29"/>
  <c r="H977" i="29"/>
  <c r="H978" i="29"/>
  <c r="H979" i="29"/>
  <c r="H980" i="29"/>
  <c r="H981" i="29"/>
  <c r="H982" i="29"/>
  <c r="H983" i="29"/>
  <c r="H984" i="29"/>
  <c r="H985" i="29"/>
  <c r="H986" i="29"/>
  <c r="H987" i="29"/>
  <c r="H988" i="29"/>
  <c r="H989" i="29"/>
  <c r="H990" i="29"/>
  <c r="H991" i="29"/>
  <c r="H992" i="29"/>
  <c r="H993" i="29"/>
  <c r="H994" i="29"/>
  <c r="H995" i="29"/>
  <c r="H996" i="29"/>
  <c r="H997" i="29"/>
  <c r="H998" i="29"/>
  <c r="H999" i="29"/>
  <c r="H1000" i="29"/>
  <c r="H1001" i="29"/>
  <c r="H1002" i="29"/>
  <c r="H1003" i="29"/>
  <c r="H1004" i="29"/>
  <c r="H1005" i="29"/>
  <c r="H1006" i="29"/>
  <c r="H1007" i="29"/>
  <c r="H1008" i="29"/>
  <c r="H1009" i="29"/>
  <c r="H1010" i="29"/>
  <c r="H1011" i="29"/>
  <c r="H1012" i="29"/>
  <c r="H1013" i="29"/>
  <c r="H1014" i="29"/>
  <c r="H1015" i="29"/>
  <c r="H1016" i="29"/>
  <c r="H1017" i="29"/>
  <c r="H1018" i="29"/>
  <c r="H1019" i="29"/>
  <c r="H1020" i="29"/>
  <c r="H1021" i="29"/>
  <c r="H1023" i="29"/>
  <c r="H1025" i="29"/>
  <c r="H1026" i="29"/>
  <c r="H1027" i="29"/>
  <c r="H1028" i="29"/>
  <c r="H1029" i="29"/>
  <c r="H1030" i="29"/>
  <c r="H1031" i="29"/>
  <c r="H1032" i="29"/>
  <c r="H1033" i="29"/>
  <c r="H1034" i="29"/>
  <c r="H1035" i="29"/>
  <c r="H1036" i="29"/>
  <c r="H1037" i="29"/>
  <c r="H1038" i="29"/>
  <c r="H1039" i="29"/>
  <c r="H1040" i="29"/>
  <c r="H1041" i="29"/>
  <c r="H1042" i="29"/>
  <c r="H1043" i="29"/>
  <c r="H1044" i="29"/>
  <c r="H1045" i="29"/>
  <c r="H1046" i="29"/>
  <c r="H1047" i="29"/>
  <c r="H1048" i="29"/>
  <c r="H1049" i="29"/>
  <c r="H1050" i="29"/>
  <c r="H1053" i="29"/>
  <c r="H1054" i="29"/>
  <c r="H1055" i="29"/>
  <c r="H1056" i="29"/>
  <c r="H1057" i="29"/>
  <c r="H1058" i="29"/>
  <c r="H1059" i="29"/>
  <c r="H1060" i="29"/>
  <c r="H1061" i="29"/>
  <c r="H1062" i="29"/>
  <c r="H1063" i="29"/>
  <c r="H1064" i="29"/>
  <c r="H1065" i="29"/>
  <c r="H1066" i="29"/>
  <c r="H1067" i="29"/>
  <c r="H1068" i="29"/>
  <c r="H1069" i="29"/>
  <c r="H1070" i="29"/>
  <c r="H1071" i="29"/>
  <c r="H1072" i="29"/>
  <c r="H1073" i="29"/>
  <c r="H1074" i="29"/>
  <c r="H1075" i="29"/>
  <c r="H1076" i="29"/>
  <c r="H1077" i="29"/>
  <c r="H1078" i="29"/>
  <c r="H1079" i="29"/>
  <c r="H1080" i="29"/>
  <c r="H1081" i="29"/>
  <c r="H1082" i="29"/>
  <c r="H1083" i="29"/>
  <c r="H1084" i="29"/>
  <c r="H1085" i="29"/>
  <c r="H1086" i="29"/>
  <c r="H1087" i="29"/>
  <c r="H1089" i="29"/>
  <c r="H1090" i="29"/>
  <c r="H1091" i="29"/>
  <c r="H1092" i="29"/>
  <c r="H1093" i="29"/>
  <c r="H1094" i="29"/>
  <c r="H1095" i="29"/>
  <c r="H1096" i="29"/>
  <c r="H1097" i="29"/>
  <c r="H1098" i="29"/>
  <c r="H1099" i="29"/>
  <c r="H1100" i="29"/>
  <c r="H1101" i="29"/>
  <c r="H1102" i="29"/>
  <c r="H1103" i="29"/>
  <c r="H1104" i="29"/>
  <c r="H1105" i="29"/>
  <c r="H1106" i="29"/>
  <c r="H1107" i="29"/>
  <c r="H1108" i="29"/>
  <c r="H1109" i="29"/>
  <c r="H1110" i="29"/>
  <c r="H1111" i="29"/>
  <c r="H1112" i="29"/>
  <c r="H1113" i="29"/>
  <c r="H1114" i="29"/>
  <c r="H1115" i="29"/>
  <c r="H1116" i="29"/>
  <c r="H1117" i="29"/>
  <c r="H1118" i="29"/>
  <c r="H1119" i="29"/>
  <c r="H1120" i="29"/>
  <c r="H1121" i="29"/>
  <c r="H1122" i="29"/>
  <c r="H1123" i="29"/>
  <c r="H1124" i="29"/>
  <c r="H1125" i="29"/>
  <c r="H1126" i="29"/>
  <c r="H1127" i="29"/>
  <c r="H1128" i="29"/>
  <c r="H1129" i="29"/>
  <c r="H1130" i="29"/>
  <c r="H1131" i="29"/>
  <c r="H1132" i="29"/>
  <c r="H1133" i="29"/>
  <c r="H1134" i="29"/>
  <c r="H1135" i="29"/>
  <c r="H1137" i="29"/>
  <c r="H1138" i="29"/>
  <c r="H1139" i="29"/>
  <c r="H1140" i="29"/>
  <c r="H1141" i="29"/>
  <c r="H1142" i="29"/>
  <c r="H1143" i="29"/>
  <c r="H1144" i="29"/>
  <c r="H1145" i="29"/>
  <c r="H1146" i="29"/>
  <c r="H1147" i="29"/>
  <c r="H1148" i="29"/>
  <c r="H1149" i="29"/>
  <c r="H1150" i="29"/>
  <c r="H1151" i="29"/>
  <c r="H1152" i="29"/>
  <c r="H1153" i="29"/>
  <c r="H1154" i="29"/>
  <c r="H1155" i="29"/>
  <c r="H1156" i="29"/>
  <c r="H1157" i="29"/>
  <c r="H1158" i="29"/>
  <c r="H1159" i="29"/>
  <c r="H1160" i="29"/>
  <c r="H1161" i="29"/>
  <c r="H1162" i="29"/>
  <c r="H1163" i="29"/>
  <c r="H1164" i="29"/>
  <c r="H1165" i="29"/>
  <c r="H1166" i="29"/>
  <c r="H1167" i="29"/>
  <c r="H1168" i="29"/>
  <c r="H1169" i="29"/>
  <c r="H1170" i="29"/>
  <c r="H1171" i="29"/>
  <c r="H1172" i="29"/>
  <c r="H1173" i="29"/>
  <c r="H1174" i="29"/>
  <c r="H1175" i="29"/>
  <c r="H1176" i="29"/>
  <c r="H1177" i="29"/>
  <c r="H1178" i="29"/>
  <c r="H1179" i="29"/>
  <c r="H1180" i="29"/>
  <c r="H1181" i="29"/>
  <c r="H1182" i="29"/>
  <c r="H1183" i="29"/>
  <c r="H1184" i="29"/>
  <c r="H1185" i="29"/>
  <c r="H1186" i="29"/>
  <c r="H1187" i="29"/>
  <c r="H1188" i="29"/>
  <c r="H1189" i="29"/>
  <c r="H1190" i="29"/>
  <c r="H1191" i="29"/>
  <c r="H1192" i="29"/>
  <c r="H1193" i="29"/>
  <c r="H1194" i="29"/>
  <c r="H1195" i="29"/>
  <c r="H1196" i="29"/>
  <c r="H1197" i="29"/>
  <c r="H1198" i="29"/>
  <c r="H1199" i="29"/>
  <c r="H1200" i="29"/>
  <c r="H1201" i="29"/>
  <c r="H1202" i="29"/>
  <c r="H1203" i="29"/>
  <c r="H1204" i="29"/>
  <c r="H1205" i="29"/>
  <c r="H1206" i="29"/>
  <c r="H1207" i="29"/>
  <c r="H1208" i="29"/>
  <c r="H1209" i="29"/>
  <c r="H1210" i="29"/>
  <c r="H1211" i="29"/>
  <c r="H1212" i="29"/>
  <c r="H1213" i="29"/>
  <c r="H1214" i="29"/>
  <c r="H1216" i="29"/>
  <c r="H1218" i="29"/>
  <c r="H1219" i="29"/>
  <c r="H1220" i="29"/>
  <c r="H1221" i="29"/>
  <c r="H1222" i="29"/>
  <c r="H1223" i="29"/>
  <c r="H1224" i="29"/>
  <c r="H1225" i="29"/>
  <c r="H1226" i="29"/>
  <c r="H1227" i="29"/>
  <c r="H1228" i="29"/>
  <c r="H1229" i="29"/>
  <c r="H1230" i="29"/>
  <c r="H1231" i="29"/>
  <c r="H1232" i="29"/>
  <c r="H1233" i="29"/>
  <c r="H1234" i="29"/>
  <c r="H1235" i="29"/>
  <c r="H1236" i="29"/>
  <c r="H1237" i="29"/>
  <c r="H1238" i="29"/>
  <c r="H1239" i="29"/>
  <c r="H1240" i="29"/>
  <c r="H1241" i="29"/>
  <c r="H1242" i="29"/>
  <c r="H1243" i="29"/>
  <c r="H1244" i="29"/>
  <c r="H1245" i="29"/>
  <c r="H1246" i="29"/>
  <c r="H1247" i="29"/>
  <c r="H1248" i="29"/>
  <c r="H1249" i="29"/>
  <c r="H1250" i="29"/>
  <c r="H1251" i="29"/>
  <c r="H1252" i="29"/>
  <c r="H1253" i="29"/>
  <c r="H1254" i="29"/>
  <c r="H1255" i="29"/>
  <c r="H1256" i="29"/>
  <c r="H1257" i="29"/>
  <c r="H1258" i="29"/>
  <c r="H1259" i="29"/>
  <c r="H1260" i="29"/>
  <c r="H1261" i="29"/>
  <c r="H1262" i="29"/>
  <c r="H1263" i="29"/>
  <c r="H1264" i="29"/>
  <c r="H1266" i="29"/>
  <c r="H1267" i="29"/>
  <c r="H1268" i="29"/>
  <c r="H1269" i="29"/>
  <c r="H1270" i="29"/>
  <c r="H1271" i="29"/>
  <c r="H1272" i="29"/>
  <c r="H1273" i="29"/>
  <c r="H1274" i="29"/>
  <c r="H1275" i="29"/>
  <c r="H1276" i="29"/>
  <c r="H1277" i="29"/>
  <c r="H1278" i="29"/>
  <c r="H1279" i="29"/>
  <c r="H1280" i="29"/>
  <c r="H1281" i="29"/>
  <c r="H1282" i="29"/>
  <c r="H1283" i="29"/>
  <c r="H1284" i="29"/>
  <c r="H1285" i="29"/>
  <c r="H1286" i="29"/>
  <c r="H1287" i="29"/>
  <c r="H1288" i="29"/>
  <c r="H1289" i="29"/>
  <c r="H1290" i="29"/>
  <c r="H1291" i="29"/>
  <c r="H1293" i="29"/>
  <c r="H1294" i="29"/>
  <c r="H1295" i="29"/>
  <c r="H1296" i="29"/>
  <c r="H1297" i="29"/>
  <c r="H1298" i="29"/>
  <c r="H1299" i="29"/>
  <c r="H1300" i="29"/>
  <c r="H1301" i="29"/>
  <c r="H1302" i="29"/>
  <c r="H1303" i="29"/>
  <c r="H1304" i="29"/>
  <c r="H1305" i="29"/>
  <c r="H1306" i="29"/>
  <c r="H1307" i="29"/>
  <c r="H1308" i="29"/>
  <c r="H1309" i="29"/>
  <c r="H1310" i="29"/>
  <c r="H1311" i="29"/>
  <c r="H1312" i="29"/>
  <c r="H1313" i="29"/>
  <c r="H1314" i="29"/>
  <c r="H1315" i="29"/>
  <c r="H1316" i="29"/>
  <c r="H1317" i="29"/>
  <c r="H1318" i="29"/>
  <c r="H1319" i="29"/>
  <c r="H1320" i="29"/>
  <c r="H1321" i="29"/>
  <c r="H1322" i="29"/>
  <c r="H1323" i="29"/>
  <c r="H1324" i="29"/>
  <c r="H1325" i="29"/>
  <c r="H1326" i="29"/>
  <c r="H1327" i="29"/>
  <c r="H1328" i="29"/>
  <c r="H1329" i="29"/>
  <c r="H1330" i="29"/>
  <c r="H1331" i="29"/>
  <c r="H1332" i="29"/>
  <c r="H1333" i="29"/>
  <c r="H1334" i="29"/>
  <c r="H1335" i="29"/>
  <c r="H1336" i="29"/>
  <c r="H1337" i="29"/>
  <c r="H1338" i="29"/>
  <c r="H1339" i="29"/>
  <c r="H1340" i="29"/>
  <c r="H1342" i="29"/>
  <c r="H1343" i="29"/>
  <c r="H1344" i="29"/>
  <c r="H1345" i="29"/>
  <c r="H1346" i="29"/>
  <c r="H1347" i="29"/>
  <c r="H1348" i="29"/>
  <c r="H1349" i="29"/>
  <c r="H1350" i="29"/>
  <c r="H1351" i="29"/>
  <c r="H1352" i="29"/>
  <c r="H1353" i="29"/>
  <c r="H1354" i="29"/>
  <c r="H1355" i="29"/>
  <c r="H1356" i="29"/>
  <c r="H1357" i="29"/>
  <c r="H1358" i="29"/>
  <c r="H1359" i="29"/>
  <c r="H1360" i="29"/>
  <c r="H1361" i="29"/>
  <c r="H1362" i="29"/>
  <c r="H1363" i="29"/>
  <c r="H1364" i="29"/>
  <c r="H1365" i="29"/>
  <c r="H1368" i="29"/>
  <c r="H1369" i="29"/>
  <c r="H1370" i="29"/>
  <c r="H1371" i="29"/>
  <c r="H1372" i="29"/>
  <c r="H1373" i="29"/>
  <c r="H1374" i="29"/>
  <c r="H1375" i="29"/>
  <c r="H1376" i="29"/>
  <c r="H1377" i="29"/>
  <c r="H1378" i="29"/>
  <c r="H1379" i="29"/>
  <c r="H1380" i="29"/>
  <c r="H1381" i="29"/>
  <c r="H1382" i="29"/>
  <c r="H1383" i="29"/>
  <c r="H1384" i="29"/>
  <c r="H1385" i="29"/>
  <c r="H1386" i="29"/>
  <c r="H1387" i="29"/>
  <c r="H1388" i="29"/>
  <c r="H1389" i="29"/>
  <c r="H1390" i="29"/>
  <c r="H1391" i="29"/>
  <c r="H1392" i="29"/>
  <c r="H1393" i="29"/>
  <c r="H1394" i="29"/>
  <c r="H1395" i="29"/>
  <c r="H1396" i="29"/>
  <c r="H1397" i="29"/>
  <c r="H1398" i="29"/>
  <c r="H1399" i="29"/>
  <c r="H1400" i="29"/>
  <c r="H1401" i="29"/>
  <c r="H1402" i="29"/>
  <c r="H1403" i="29"/>
  <c r="H1404" i="29"/>
  <c r="H1405" i="29"/>
  <c r="H1406" i="29"/>
  <c r="H1407" i="29"/>
  <c r="H1408" i="29"/>
  <c r="H1409" i="29"/>
  <c r="H1410" i="29"/>
  <c r="H1411" i="29"/>
  <c r="H1412" i="29"/>
  <c r="H1414" i="29"/>
  <c r="H1415" i="29"/>
  <c r="H1416" i="29"/>
  <c r="H1417" i="29"/>
  <c r="H1418" i="29"/>
  <c r="H1419" i="29"/>
  <c r="H1420" i="29"/>
  <c r="H1421" i="29"/>
  <c r="H1422" i="29"/>
  <c r="H1423" i="29"/>
  <c r="H1424" i="29"/>
  <c r="H1425" i="29"/>
  <c r="H1426" i="29"/>
  <c r="H1427" i="29"/>
  <c r="H1428" i="29"/>
  <c r="H1429" i="29"/>
  <c r="H1430" i="29"/>
  <c r="H1431" i="29"/>
  <c r="H1432" i="29"/>
  <c r="H1433" i="29"/>
  <c r="H1434" i="29"/>
  <c r="H1435" i="29"/>
  <c r="H1436" i="29"/>
  <c r="H1437" i="29"/>
  <c r="H1438" i="29"/>
  <c r="H1439" i="29"/>
  <c r="H1440" i="29"/>
  <c r="H1441" i="29"/>
  <c r="H1442" i="29"/>
  <c r="H1443" i="29"/>
  <c r="H1444" i="29"/>
  <c r="H1445" i="29"/>
  <c r="H1446" i="29"/>
  <c r="H1447" i="29"/>
  <c r="H1448" i="29"/>
  <c r="H1449" i="29"/>
  <c r="H1450" i="29"/>
  <c r="H1451" i="29"/>
  <c r="H1452" i="29"/>
  <c r="H1453" i="29"/>
  <c r="H1454" i="29"/>
  <c r="H1455" i="29"/>
  <c r="H1456" i="29"/>
  <c r="H1457" i="29"/>
  <c r="H1458" i="29"/>
  <c r="H1459" i="29"/>
  <c r="H1460" i="29"/>
  <c r="H1462" i="29"/>
  <c r="H1463" i="29"/>
  <c r="H1464" i="29"/>
  <c r="H1465" i="29"/>
  <c r="H1466" i="29"/>
  <c r="H1467" i="29"/>
  <c r="H1468" i="29"/>
  <c r="H1469" i="29"/>
  <c r="H1470" i="29"/>
  <c r="H1471" i="29"/>
  <c r="H1472" i="29"/>
  <c r="H1473" i="29"/>
  <c r="H1474" i="29"/>
  <c r="H1475" i="29"/>
  <c r="H1476" i="29"/>
  <c r="H1477" i="29"/>
  <c r="H1478" i="29"/>
  <c r="H1479" i="29"/>
  <c r="H1480" i="29"/>
  <c r="H1481" i="29"/>
  <c r="H1482" i="29"/>
  <c r="H1483" i="29"/>
  <c r="H1484" i="29"/>
  <c r="H1485" i="29"/>
  <c r="H1486" i="29"/>
  <c r="H1487" i="29"/>
  <c r="H1488" i="29"/>
  <c r="H1489" i="29"/>
  <c r="H1490" i="29"/>
  <c r="H1491" i="29"/>
  <c r="H1492" i="29"/>
  <c r="H1493" i="29"/>
  <c r="H1494" i="29"/>
  <c r="H1495" i="29"/>
  <c r="H1496" i="29"/>
  <c r="H1497" i="29"/>
  <c r="H1498" i="29"/>
  <c r="H1499" i="29"/>
  <c r="H1500" i="29"/>
  <c r="H1501" i="29"/>
  <c r="H1502" i="29"/>
  <c r="H1503" i="29"/>
  <c r="H1504" i="29"/>
  <c r="H1505" i="29"/>
  <c r="H1506" i="29"/>
  <c r="H1507" i="29"/>
  <c r="H1508" i="29"/>
  <c r="H1510" i="29"/>
  <c r="H1511" i="29"/>
  <c r="H1512" i="29"/>
  <c r="H1513" i="29"/>
  <c r="H1514" i="29"/>
  <c r="H1515" i="29"/>
  <c r="H1516" i="29"/>
  <c r="H1517" i="29"/>
  <c r="H1518" i="29"/>
  <c r="H1519" i="29"/>
  <c r="H1520" i="29"/>
  <c r="H1521" i="29"/>
  <c r="H1522" i="29"/>
  <c r="H1523" i="29"/>
  <c r="H1524" i="29"/>
  <c r="H1525" i="29"/>
  <c r="H1526" i="29"/>
  <c r="H1527" i="29"/>
  <c r="H1528" i="29"/>
  <c r="H1529" i="29"/>
  <c r="H1530" i="29"/>
  <c r="H1531" i="29"/>
  <c r="H1532" i="29"/>
  <c r="H1533" i="29"/>
  <c r="H1534" i="29"/>
  <c r="H1535" i="29"/>
  <c r="H1536" i="29"/>
  <c r="H1537" i="29"/>
  <c r="H1538" i="29"/>
  <c r="H1539" i="29"/>
  <c r="H1540" i="29"/>
  <c r="H1541" i="29"/>
  <c r="H1542" i="29"/>
  <c r="H1543" i="29"/>
  <c r="H1544" i="29"/>
  <c r="H1545" i="29"/>
  <c r="H1546" i="29"/>
  <c r="H1547" i="29"/>
  <c r="H1548" i="29"/>
  <c r="H1549" i="29"/>
  <c r="H1550" i="29"/>
  <c r="H1551" i="29"/>
  <c r="H1552" i="29"/>
  <c r="H1553" i="29"/>
  <c r="H1554" i="29"/>
  <c r="H1555" i="29"/>
  <c r="H1556" i="29"/>
  <c r="H1558" i="29"/>
  <c r="H1559" i="29"/>
  <c r="H1560" i="29"/>
  <c r="H1561" i="29"/>
  <c r="H1562" i="29"/>
  <c r="H1563" i="29"/>
  <c r="H1564" i="29"/>
  <c r="H1565" i="29"/>
  <c r="H1566" i="29"/>
  <c r="H1567" i="29"/>
  <c r="H1568" i="29"/>
  <c r="H1569" i="29"/>
  <c r="H1570" i="29"/>
  <c r="H1571" i="29"/>
  <c r="H1572" i="29"/>
  <c r="H1573" i="29"/>
  <c r="H1574" i="29"/>
  <c r="H1575" i="29"/>
  <c r="H1576" i="29"/>
  <c r="H1577" i="29"/>
  <c r="H1578" i="29"/>
  <c r="H1579" i="29"/>
  <c r="H1580" i="29"/>
  <c r="H1581" i="29"/>
  <c r="H1582" i="29"/>
  <c r="H1583" i="29"/>
  <c r="H1584" i="29"/>
  <c r="H1585" i="29"/>
  <c r="H1586" i="29"/>
  <c r="H1587" i="29"/>
  <c r="H1588" i="29"/>
  <c r="H1589" i="29"/>
  <c r="H1590" i="29"/>
  <c r="H1591" i="29"/>
  <c r="H1592" i="29"/>
  <c r="H1593" i="29"/>
  <c r="H1594" i="29"/>
  <c r="H1595" i="29"/>
  <c r="H1596" i="29"/>
  <c r="H1597" i="29"/>
  <c r="H1598" i="29"/>
  <c r="H1599" i="29"/>
  <c r="H1600" i="29"/>
  <c r="H1601" i="29"/>
  <c r="H1602" i="29"/>
  <c r="H1603" i="29"/>
  <c r="H1604" i="29"/>
  <c r="H1606" i="29"/>
  <c r="H1607" i="29"/>
  <c r="H1608" i="29"/>
  <c r="H1609" i="29"/>
  <c r="H1610" i="29"/>
  <c r="H1611" i="29"/>
  <c r="H1612" i="29"/>
  <c r="H1613" i="29"/>
  <c r="H1614" i="29"/>
  <c r="H1615" i="29"/>
  <c r="H1616" i="29"/>
  <c r="H1617" i="29"/>
  <c r="H1618" i="29"/>
  <c r="H1619" i="29"/>
  <c r="H1620" i="29"/>
  <c r="H1621" i="29"/>
  <c r="H1622" i="29"/>
  <c r="H1623" i="29"/>
  <c r="H1624" i="29"/>
  <c r="H1625" i="29"/>
  <c r="H1626" i="29"/>
  <c r="H1627" i="29"/>
  <c r="H1628" i="29"/>
  <c r="H1629" i="29"/>
  <c r="H1630" i="29"/>
  <c r="H1631" i="29"/>
  <c r="H1632" i="29"/>
  <c r="H1633" i="29"/>
  <c r="H1634" i="29"/>
  <c r="H1635" i="29"/>
  <c r="H1636" i="29"/>
  <c r="H1637" i="29"/>
  <c r="H1638" i="29"/>
  <c r="H1639" i="29"/>
  <c r="H1640" i="29"/>
  <c r="H1641" i="29"/>
  <c r="H1642" i="29"/>
  <c r="H1643" i="29"/>
  <c r="H1644" i="29"/>
  <c r="H1645" i="29"/>
  <c r="H1646" i="29"/>
  <c r="H1647" i="29"/>
  <c r="H1648" i="29"/>
  <c r="H1649" i="29"/>
  <c r="H1650" i="29"/>
  <c r="H1651" i="29"/>
  <c r="H1652" i="29"/>
  <c r="H1654" i="29"/>
  <c r="H1655" i="29"/>
  <c r="H1656" i="29"/>
  <c r="H1657" i="29"/>
  <c r="H1658" i="29"/>
  <c r="H1659" i="29"/>
  <c r="H1660" i="29"/>
  <c r="H1661" i="29"/>
  <c r="H1662" i="29"/>
  <c r="H1663" i="29"/>
  <c r="H1664" i="29"/>
  <c r="H1665" i="29"/>
  <c r="H1666" i="29"/>
  <c r="H1667" i="29"/>
  <c r="H1668" i="29"/>
  <c r="H1669" i="29"/>
  <c r="H1670" i="29"/>
  <c r="H1671" i="29"/>
  <c r="H1672" i="29"/>
  <c r="H1673" i="29"/>
  <c r="H1674" i="29"/>
  <c r="H1675" i="29"/>
  <c r="H1676" i="29"/>
  <c r="H1677" i="29"/>
  <c r="H1678" i="29"/>
  <c r="H1679" i="29"/>
  <c r="H1680" i="29"/>
  <c r="H1681" i="29"/>
  <c r="H1682" i="29"/>
  <c r="H1683" i="29"/>
  <c r="H1684" i="29"/>
  <c r="H1685" i="29"/>
  <c r="H1686" i="29"/>
  <c r="H1687" i="29"/>
  <c r="H1688" i="29"/>
  <c r="H1689" i="29"/>
  <c r="H1690" i="29"/>
  <c r="H1691" i="29"/>
  <c r="H1692" i="29"/>
  <c r="H1693" i="29"/>
  <c r="H1694" i="29"/>
  <c r="H1695" i="29"/>
  <c r="H1696" i="29"/>
  <c r="H1697" i="29"/>
  <c r="H1698" i="29"/>
  <c r="H1699" i="29"/>
  <c r="H1700" i="29"/>
  <c r="H1702" i="29"/>
  <c r="H1704" i="29"/>
  <c r="H1705" i="29"/>
  <c r="H1706" i="29"/>
  <c r="H1707" i="29"/>
  <c r="H1708" i="29"/>
  <c r="H1709" i="29"/>
  <c r="H1710" i="29"/>
  <c r="H1711" i="29"/>
  <c r="H1712" i="29"/>
  <c r="H1713" i="29"/>
  <c r="H1714" i="29"/>
  <c r="H1715" i="29"/>
  <c r="H1716" i="29"/>
  <c r="H1717" i="29"/>
  <c r="H1718" i="29"/>
  <c r="H1719" i="29"/>
  <c r="H1720" i="29"/>
  <c r="H1721" i="29"/>
  <c r="H1722" i="29"/>
  <c r="H1723" i="29"/>
  <c r="H1724" i="29"/>
  <c r="H1725" i="29"/>
  <c r="H1726" i="29"/>
  <c r="H1727" i="29"/>
  <c r="H1728" i="29"/>
  <c r="H1729" i="29"/>
  <c r="H1730" i="29"/>
  <c r="H1731" i="29"/>
  <c r="H1732" i="29"/>
  <c r="H1733" i="29"/>
  <c r="H1734" i="29"/>
  <c r="H1735" i="29"/>
  <c r="H1736" i="29"/>
  <c r="H1737" i="29"/>
  <c r="H1738" i="29"/>
  <c r="H1739" i="29"/>
  <c r="H1740" i="29"/>
  <c r="H1741" i="29"/>
  <c r="H1742" i="29"/>
  <c r="H1743" i="29"/>
  <c r="H1744" i="29"/>
  <c r="H1745" i="29"/>
  <c r="H1746" i="29"/>
  <c r="H1747" i="29"/>
  <c r="H1748" i="29"/>
  <c r="H1750" i="29"/>
  <c r="H1751" i="29"/>
  <c r="H1752" i="29"/>
  <c r="H1753" i="29"/>
  <c r="H1754" i="29"/>
  <c r="H1755" i="29"/>
  <c r="H1756" i="29"/>
  <c r="H1757" i="29"/>
  <c r="H1758" i="29"/>
  <c r="H1759" i="29"/>
  <c r="H1760" i="29"/>
  <c r="H1761" i="29"/>
  <c r="H1762" i="29"/>
  <c r="H1763" i="29"/>
  <c r="H1764" i="29"/>
  <c r="H1765" i="29"/>
  <c r="H1766" i="29"/>
  <c r="H1767" i="29"/>
  <c r="H1768" i="29"/>
  <c r="H1769" i="29"/>
  <c r="H1770" i="29"/>
  <c r="H1771" i="29"/>
  <c r="H1772" i="29"/>
  <c r="H1773" i="29"/>
  <c r="H1774" i="29"/>
  <c r="H1775" i="29"/>
  <c r="H1776" i="29"/>
  <c r="H1777" i="29"/>
  <c r="H1778" i="29"/>
  <c r="H1779" i="29"/>
  <c r="H1780" i="29"/>
  <c r="H1781" i="29"/>
  <c r="H1782" i="29"/>
  <c r="H1783" i="29"/>
  <c r="H1784" i="29"/>
  <c r="H1785" i="29"/>
  <c r="H1786" i="29"/>
  <c r="H1787" i="29"/>
  <c r="H1788" i="29"/>
  <c r="H1789" i="29"/>
  <c r="H1790" i="29"/>
  <c r="H1791" i="29"/>
  <c r="H1792" i="29"/>
  <c r="H1793" i="29"/>
  <c r="H1794" i="29"/>
  <c r="H1795" i="29"/>
  <c r="H1796" i="29"/>
  <c r="H1799" i="29"/>
  <c r="H1800" i="29"/>
  <c r="H1802" i="29"/>
  <c r="H1805" i="29"/>
  <c r="H1807" i="29"/>
  <c r="H1808" i="29"/>
  <c r="H1809" i="29"/>
  <c r="H1810" i="29"/>
  <c r="H1812" i="29"/>
  <c r="H1813" i="29"/>
  <c r="H1818" i="29"/>
  <c r="H1819" i="29"/>
  <c r="H1820" i="29"/>
  <c r="H1822" i="29"/>
  <c r="H1823" i="29"/>
  <c r="H1825" i="29"/>
  <c r="H1826" i="29"/>
  <c r="H1828" i="29"/>
  <c r="H1829" i="29"/>
  <c r="H1831" i="29"/>
  <c r="H1833" i="29"/>
  <c r="H1834" i="29"/>
  <c r="H1836" i="29"/>
  <c r="H1837" i="29"/>
  <c r="H1839" i="29"/>
  <c r="H1840" i="29"/>
  <c r="H1841" i="29"/>
  <c r="H1843" i="29"/>
  <c r="H1844" i="29"/>
  <c r="H1845" i="29"/>
  <c r="H1849" i="29"/>
  <c r="H1850" i="29"/>
  <c r="H1851" i="29"/>
  <c r="H1852" i="29"/>
  <c r="H1854" i="29"/>
  <c r="H1855" i="29"/>
  <c r="H1856" i="29"/>
  <c r="H1857" i="29"/>
  <c r="H1858" i="29"/>
  <c r="H1859" i="29"/>
  <c r="H1860" i="29"/>
  <c r="H1862" i="29"/>
  <c r="H1863" i="29"/>
  <c r="H1865" i="29"/>
  <c r="H1866" i="29"/>
  <c r="H1867" i="29"/>
  <c r="H1869" i="29"/>
  <c r="H1871" i="29"/>
  <c r="H1873" i="29"/>
  <c r="H1875" i="29"/>
  <c r="H1876" i="29"/>
  <c r="H1877" i="29"/>
  <c r="H1878" i="29"/>
  <c r="H1880" i="29"/>
  <c r="H1882" i="29"/>
  <c r="H1884" i="29"/>
  <c r="H1886" i="29"/>
  <c r="H1887" i="29"/>
  <c r="H1888" i="29"/>
  <c r="H1889" i="29"/>
  <c r="H1890" i="29"/>
  <c r="H1893" i="29"/>
  <c r="H1894" i="29"/>
  <c r="H1895" i="29"/>
  <c r="H1897" i="29"/>
  <c r="H1899" i="29"/>
  <c r="H1900" i="29"/>
  <c r="H1904" i="29"/>
  <c r="H1907" i="29"/>
  <c r="H1908" i="29"/>
  <c r="H1910" i="29"/>
  <c r="H1911" i="29"/>
  <c r="H1913" i="29"/>
  <c r="H1914" i="29"/>
  <c r="H1916" i="29"/>
  <c r="H1917" i="29"/>
  <c r="H1918" i="29"/>
  <c r="H1920" i="29"/>
  <c r="H1922" i="29"/>
  <c r="H1923" i="29"/>
  <c r="H1925" i="29"/>
  <c r="H1926" i="29"/>
  <c r="H1928" i="29"/>
  <c r="H1930" i="29"/>
  <c r="H1931" i="29"/>
  <c r="H1933" i="29"/>
  <c r="H1934" i="29"/>
  <c r="H1936" i="29"/>
  <c r="H1937" i="29"/>
  <c r="H1939" i="29"/>
  <c r="H1940" i="29"/>
  <c r="H1942" i="29"/>
  <c r="H1943" i="29"/>
  <c r="H1944" i="29"/>
  <c r="H1945" i="29"/>
  <c r="H1947" i="29"/>
  <c r="H1948" i="29"/>
  <c r="H1950" i="29"/>
  <c r="H1952" i="29"/>
  <c r="H1954" i="29"/>
  <c r="H1956" i="29"/>
  <c r="H1957" i="29"/>
  <c r="H1959" i="29"/>
  <c r="H1960" i="29"/>
  <c r="H1962" i="29"/>
  <c r="H1963" i="29"/>
  <c r="H1978" i="29"/>
  <c r="H1980" i="29"/>
  <c r="H1982" i="29"/>
  <c r="H1984" i="29"/>
  <c r="H1986" i="29"/>
  <c r="H1988" i="29"/>
  <c r="H1990" i="29"/>
  <c r="H1992" i="29"/>
  <c r="H1993" i="29"/>
  <c r="H1994" i="29"/>
  <c r="H1995" i="29"/>
  <c r="H1996" i="29"/>
  <c r="G238" i="22"/>
  <c r="G17" i="15"/>
  <c r="H17" i="15"/>
  <c r="F17" i="15"/>
  <c r="G19" i="15"/>
  <c r="G18" i="15"/>
  <c r="H19" i="15"/>
  <c r="H18" i="15"/>
  <c r="F19" i="15"/>
  <c r="F18" i="15"/>
  <c r="K18" i="15"/>
  <c r="G138" i="22"/>
  <c r="F138" i="22"/>
  <c r="G140" i="22"/>
  <c r="H173" i="22"/>
  <c r="G173" i="22"/>
  <c r="F173" i="22"/>
  <c r="I173" i="22"/>
  <c r="C131" i="27"/>
  <c r="G131" i="27"/>
  <c r="P288" i="1"/>
  <c r="O288" i="1"/>
  <c r="N288" i="1"/>
  <c r="F288" i="1"/>
  <c r="E36" i="32"/>
  <c r="E37" i="32"/>
  <c r="C36" i="32"/>
  <c r="E48" i="32"/>
  <c r="E60" i="32"/>
  <c r="C48" i="32"/>
  <c r="I272" i="1"/>
  <c r="BJ79" i="12"/>
  <c r="BJ88" i="12"/>
  <c r="BJ86" i="12"/>
  <c r="BJ85" i="12"/>
  <c r="BJ78" i="12"/>
  <c r="BJ65" i="12"/>
  <c r="BJ59" i="12"/>
  <c r="BJ57" i="12"/>
  <c r="BJ29" i="12"/>
  <c r="BJ27" i="12"/>
  <c r="BJ20" i="12"/>
  <c r="BJ16" i="12"/>
  <c r="AS59" i="12"/>
  <c r="AS83" i="12"/>
  <c r="AS82" i="12"/>
  <c r="AQ82" i="12"/>
  <c r="AS57" i="12"/>
  <c r="AS51" i="12"/>
  <c r="AS44" i="12"/>
  <c r="AS43" i="12"/>
  <c r="AS42" i="12"/>
  <c r="AS41" i="12"/>
  <c r="AS34" i="12"/>
  <c r="BB45" i="12"/>
  <c r="BC45" i="12"/>
  <c r="BD45" i="12"/>
  <c r="BB21" i="12"/>
  <c r="BC21" i="12"/>
  <c r="BD21" i="12"/>
  <c r="BB95" i="12"/>
  <c r="BC95" i="12"/>
  <c r="BC114" i="12"/>
  <c r="BC118" i="12"/>
  <c r="BD95" i="12"/>
  <c r="BD114" i="12"/>
  <c r="BD118" i="12"/>
  <c r="AS30" i="12"/>
  <c r="AQ30" i="12"/>
  <c r="AS29" i="12"/>
  <c r="AS27" i="12"/>
  <c r="AS17" i="12"/>
  <c r="AS16" i="12"/>
  <c r="AQ16" i="12"/>
  <c r="AZ94" i="12"/>
  <c r="AZ93" i="12"/>
  <c r="AZ92" i="12"/>
  <c r="AZ91" i="12"/>
  <c r="P180" i="1"/>
  <c r="O180" i="1"/>
  <c r="N180" i="1"/>
  <c r="N145" i="1"/>
  <c r="M180" i="1"/>
  <c r="M145" i="1"/>
  <c r="L180" i="1"/>
  <c r="L145" i="1"/>
  <c r="K180" i="1"/>
  <c r="I180" i="1"/>
  <c r="I145" i="1"/>
  <c r="H180" i="1"/>
  <c r="G180" i="1"/>
  <c r="F180" i="1"/>
  <c r="J181" i="1"/>
  <c r="J180" i="1"/>
  <c r="J182" i="1"/>
  <c r="E181" i="1"/>
  <c r="E180" i="1"/>
  <c r="R180" i="1"/>
  <c r="E182" i="1"/>
  <c r="R182" i="1"/>
  <c r="E36" i="1"/>
  <c r="F85" i="1"/>
  <c r="F84" i="1"/>
  <c r="V186" i="1"/>
  <c r="I46" i="1"/>
  <c r="K46" i="1"/>
  <c r="L46" i="1"/>
  <c r="M46" i="1"/>
  <c r="N46" i="1"/>
  <c r="O46" i="1"/>
  <c r="P46" i="1"/>
  <c r="J47" i="1"/>
  <c r="J48" i="1"/>
  <c r="J49" i="1"/>
  <c r="J50" i="1"/>
  <c r="J51" i="1"/>
  <c r="N190" i="1"/>
  <c r="F223" i="1"/>
  <c r="BE32" i="12"/>
  <c r="AD117" i="12"/>
  <c r="BE37" i="12"/>
  <c r="BE30" i="12"/>
  <c r="BE45" i="12"/>
  <c r="BE114" i="12"/>
  <c r="BE118" i="12"/>
  <c r="H279" i="22"/>
  <c r="F278" i="22"/>
  <c r="F277" i="22"/>
  <c r="H206" i="22"/>
  <c r="I206" i="22"/>
  <c r="G29" i="22"/>
  <c r="F30" i="22"/>
  <c r="F29" i="22"/>
  <c r="K238" i="1"/>
  <c r="J238" i="1"/>
  <c r="P241" i="1"/>
  <c r="O241" i="1"/>
  <c r="T241" i="1"/>
  <c r="N241" i="1"/>
  <c r="N239" i="1"/>
  <c r="F241" i="1"/>
  <c r="E241" i="1"/>
  <c r="F245" i="1"/>
  <c r="H4164" i="24"/>
  <c r="E4163" i="24"/>
  <c r="C4163" i="24"/>
  <c r="G20" i="22"/>
  <c r="H20" i="22"/>
  <c r="BL117" i="12"/>
  <c r="P31" i="1"/>
  <c r="O31" i="1"/>
  <c r="O27" i="1"/>
  <c r="N31" i="1"/>
  <c r="J31" i="1"/>
  <c r="K25" i="1"/>
  <c r="F31" i="1"/>
  <c r="E31" i="1"/>
  <c r="R31" i="1"/>
  <c r="F19" i="1"/>
  <c r="E19" i="1"/>
  <c r="R19" i="1"/>
  <c r="F16" i="1"/>
  <c r="E16" i="1"/>
  <c r="R16" i="1"/>
  <c r="S16" i="1"/>
  <c r="H15" i="1"/>
  <c r="H14" i="1"/>
  <c r="G15" i="1"/>
  <c r="G14" i="1"/>
  <c r="T32" i="12"/>
  <c r="K117" i="12"/>
  <c r="K17" i="12"/>
  <c r="K21" i="12"/>
  <c r="E115" i="1"/>
  <c r="R115" i="1"/>
  <c r="E436" i="24"/>
  <c r="C436" i="24"/>
  <c r="E3967" i="24"/>
  <c r="C3967" i="24"/>
  <c r="E3185" i="24"/>
  <c r="C3185" i="24"/>
  <c r="E2670" i="24"/>
  <c r="H2670" i="24"/>
  <c r="C2670" i="24"/>
  <c r="E1585" i="24"/>
  <c r="C1585" i="24"/>
  <c r="BQ88" i="12"/>
  <c r="BQ69" i="12"/>
  <c r="BQ58" i="12"/>
  <c r="BQ37" i="12"/>
  <c r="AA80" i="12"/>
  <c r="AA78" i="12"/>
  <c r="AB65" i="12"/>
  <c r="AA70" i="12"/>
  <c r="BR70" i="12"/>
  <c r="AB63" i="12"/>
  <c r="AB69" i="12"/>
  <c r="AA69" i="12"/>
  <c r="AB77" i="12"/>
  <c r="AB62" i="12"/>
  <c r="AA62" i="12"/>
  <c r="AB76" i="12"/>
  <c r="AB71" i="12"/>
  <c r="AB75" i="12"/>
  <c r="AB59" i="12"/>
  <c r="AB56" i="12"/>
  <c r="AB50" i="12"/>
  <c r="AB49" i="12"/>
  <c r="AB44" i="12"/>
  <c r="AA43" i="12"/>
  <c r="AB36" i="12"/>
  <c r="AB34" i="12"/>
  <c r="AA34" i="12"/>
  <c r="AB32" i="12"/>
  <c r="AB30" i="12"/>
  <c r="AB29" i="12"/>
  <c r="AB28" i="12"/>
  <c r="AA28" i="12"/>
  <c r="AB24" i="12"/>
  <c r="AB23" i="12"/>
  <c r="AB22" i="12"/>
  <c r="AB20" i="12"/>
  <c r="AA20" i="12"/>
  <c r="F137" i="27"/>
  <c r="E28" i="34"/>
  <c r="D28" i="34"/>
  <c r="C28" i="34"/>
  <c r="D11" i="32"/>
  <c r="D109" i="32"/>
  <c r="E11" i="32"/>
  <c r="E109" i="32"/>
  <c r="C11" i="32"/>
  <c r="C109" i="32"/>
  <c r="E2013" i="29"/>
  <c r="C2013" i="29"/>
  <c r="H2013" i="29"/>
  <c r="D2015" i="29"/>
  <c r="E2015" i="29"/>
  <c r="C2015" i="29"/>
  <c r="H2015" i="29"/>
  <c r="E2014" i="29"/>
  <c r="F2014" i="29"/>
  <c r="G2014" i="29"/>
  <c r="C2014" i="29"/>
  <c r="D2012" i="29"/>
  <c r="D2018" i="29"/>
  <c r="E2012" i="29"/>
  <c r="C2012" i="29"/>
  <c r="F142" i="27"/>
  <c r="F40" i="34"/>
  <c r="C1946" i="29"/>
  <c r="E1703" i="29"/>
  <c r="C1703" i="29"/>
  <c r="I1703" i="29"/>
  <c r="D1961" i="29"/>
  <c r="E1961" i="29"/>
  <c r="C1961" i="29"/>
  <c r="C605" i="29"/>
  <c r="E1905" i="29"/>
  <c r="E1906" i="29"/>
  <c r="C1905" i="29"/>
  <c r="E1798" i="29"/>
  <c r="E1801" i="29"/>
  <c r="C1798" i="29"/>
  <c r="AC28" i="12"/>
  <c r="AC37" i="12"/>
  <c r="AC117" i="12"/>
  <c r="AA117" i="12"/>
  <c r="E31" i="12"/>
  <c r="D31" i="12"/>
  <c r="E74" i="12"/>
  <c r="D74" i="12"/>
  <c r="E32" i="12"/>
  <c r="D32" i="12"/>
  <c r="E22" i="37"/>
  <c r="D22" i="37"/>
  <c r="C22" i="37"/>
  <c r="H22" i="37"/>
  <c r="AR71" i="12"/>
  <c r="BS97" i="12"/>
  <c r="BT97" i="12"/>
  <c r="BS98" i="12"/>
  <c r="BT98" i="12"/>
  <c r="BS96" i="12"/>
  <c r="BT96" i="12"/>
  <c r="BX102" i="12"/>
  <c r="D2538" i="24"/>
  <c r="E2542" i="24"/>
  <c r="E2544" i="24"/>
  <c r="C2542" i="24"/>
  <c r="BN52" i="12"/>
  <c r="BH97" i="12"/>
  <c r="BX97" i="12"/>
  <c r="BH98" i="12"/>
  <c r="BX98" i="12"/>
  <c r="G21" i="22"/>
  <c r="I23" i="37"/>
  <c r="I26" i="37"/>
  <c r="I28" i="37"/>
  <c r="I30" i="37"/>
  <c r="I32" i="37"/>
  <c r="I34" i="37"/>
  <c r="H10" i="35"/>
  <c r="H12" i="35"/>
  <c r="H15" i="35"/>
  <c r="H17" i="35"/>
  <c r="I17" i="35"/>
  <c r="H18" i="35"/>
  <c r="I18" i="35"/>
  <c r="H20" i="35"/>
  <c r="I20" i="35"/>
  <c r="H22" i="35"/>
  <c r="I22" i="35"/>
  <c r="H24" i="35"/>
  <c r="I24" i="35"/>
  <c r="H26" i="35"/>
  <c r="I26" i="35"/>
  <c r="H28" i="35"/>
  <c r="I28" i="35"/>
  <c r="H30" i="35"/>
  <c r="I30" i="35"/>
  <c r="H32" i="35"/>
  <c r="H34" i="35"/>
  <c r="I34" i="35"/>
  <c r="D72" i="31"/>
  <c r="C72" i="31"/>
  <c r="H72" i="31"/>
  <c r="E72" i="31"/>
  <c r="E69" i="31"/>
  <c r="G277" i="22"/>
  <c r="G225" i="22"/>
  <c r="H225" i="22"/>
  <c r="I124" i="15"/>
  <c r="I75" i="15"/>
  <c r="F26" i="15"/>
  <c r="C1167" i="24"/>
  <c r="C1264" i="24"/>
  <c r="E1167" i="24"/>
  <c r="H1167" i="24"/>
  <c r="E2923" i="24"/>
  <c r="BQ62" i="12"/>
  <c r="BQ32" i="12"/>
  <c r="BO32" i="12"/>
  <c r="L39" i="12"/>
  <c r="L22" i="12"/>
  <c r="BI71" i="12"/>
  <c r="BI61" i="12"/>
  <c r="AR61" i="12"/>
  <c r="E3256" i="24"/>
  <c r="D2282" i="24"/>
  <c r="C2282" i="24"/>
  <c r="E924" i="24"/>
  <c r="C924" i="24"/>
  <c r="D927" i="24"/>
  <c r="C927" i="24"/>
  <c r="E2068" i="24"/>
  <c r="H2068" i="24"/>
  <c r="C2068" i="24"/>
  <c r="D3738" i="24"/>
  <c r="C3738" i="24"/>
  <c r="E3973" i="24"/>
  <c r="D2893" i="24"/>
  <c r="D2544" i="24"/>
  <c r="AQ72" i="12"/>
  <c r="AQ39" i="12"/>
  <c r="AQ18" i="12"/>
  <c r="BR18" i="12"/>
  <c r="J273" i="1"/>
  <c r="J272" i="1"/>
  <c r="J275" i="1"/>
  <c r="G270" i="1"/>
  <c r="H270" i="1"/>
  <c r="K270" i="1"/>
  <c r="L270" i="1"/>
  <c r="M270" i="1"/>
  <c r="C112" i="27"/>
  <c r="G112" i="27"/>
  <c r="C113" i="27"/>
  <c r="C114" i="27"/>
  <c r="G114" i="27"/>
  <c r="T12" i="1"/>
  <c r="V12" i="1"/>
  <c r="S221" i="1"/>
  <c r="S228" i="1"/>
  <c r="E47" i="27"/>
  <c r="T228" i="1"/>
  <c r="P212" i="1"/>
  <c r="J187" i="1"/>
  <c r="E187" i="1"/>
  <c r="R187" i="1"/>
  <c r="H170" i="1"/>
  <c r="H167" i="1"/>
  <c r="F140" i="27"/>
  <c r="E40" i="32"/>
  <c r="E41" i="32"/>
  <c r="C40" i="32"/>
  <c r="C19" i="37"/>
  <c r="D20" i="37"/>
  <c r="E20" i="37"/>
  <c r="D908" i="29"/>
  <c r="E908" i="29"/>
  <c r="C908" i="29"/>
  <c r="D71" i="32"/>
  <c r="E71" i="32"/>
  <c r="H71" i="32"/>
  <c r="C71" i="32"/>
  <c r="I71" i="32"/>
  <c r="D23" i="32"/>
  <c r="E23" i="32"/>
  <c r="C23" i="32"/>
  <c r="I23" i="32"/>
  <c r="D60" i="32"/>
  <c r="E448" i="29"/>
  <c r="C448" i="29"/>
  <c r="I448" i="29"/>
  <c r="E72" i="32"/>
  <c r="H72" i="32"/>
  <c r="C72" i="32"/>
  <c r="C77" i="32"/>
  <c r="I77" i="32"/>
  <c r="D77" i="32"/>
  <c r="D20" i="34"/>
  <c r="E20" i="34"/>
  <c r="C20" i="34"/>
  <c r="E24" i="32"/>
  <c r="C24" i="32"/>
  <c r="D216" i="27"/>
  <c r="D85" i="31"/>
  <c r="E85" i="31"/>
  <c r="C85" i="31"/>
  <c r="E68" i="31"/>
  <c r="V290" i="1"/>
  <c r="V291" i="1"/>
  <c r="H28" i="22"/>
  <c r="I28" i="22"/>
  <c r="G24" i="22"/>
  <c r="F118" i="22"/>
  <c r="F126" i="22"/>
  <c r="F51" i="22"/>
  <c r="C208" i="27"/>
  <c r="C209" i="27"/>
  <c r="C210" i="27"/>
  <c r="C205" i="27"/>
  <c r="C211" i="27"/>
  <c r="C213" i="27"/>
  <c r="C214" i="27"/>
  <c r="C215" i="27"/>
  <c r="C207" i="27"/>
  <c r="E216" i="27"/>
  <c r="N133" i="1"/>
  <c r="V133" i="1"/>
  <c r="M133" i="1"/>
  <c r="L133" i="1"/>
  <c r="L126" i="1"/>
  <c r="K133" i="1"/>
  <c r="K126" i="1"/>
  <c r="F112" i="1"/>
  <c r="G112" i="1"/>
  <c r="H112" i="1"/>
  <c r="K112" i="1"/>
  <c r="L112" i="1"/>
  <c r="M112" i="1"/>
  <c r="N112" i="1"/>
  <c r="O112" i="1"/>
  <c r="P112" i="1"/>
  <c r="D2708" i="24"/>
  <c r="I45" i="12"/>
  <c r="I114" i="12"/>
  <c r="I118" i="12"/>
  <c r="I21" i="12"/>
  <c r="G82" i="1"/>
  <c r="H82" i="1"/>
  <c r="K82" i="1"/>
  <c r="L82" i="1"/>
  <c r="M82" i="1"/>
  <c r="J41" i="12"/>
  <c r="J36" i="12"/>
  <c r="J21" i="12"/>
  <c r="E114" i="1"/>
  <c r="R114" i="1"/>
  <c r="E100" i="27"/>
  <c r="F100" i="27"/>
  <c r="C101" i="27"/>
  <c r="BI84" i="12"/>
  <c r="BI69" i="12"/>
  <c r="BI68" i="12"/>
  <c r="BI67" i="12"/>
  <c r="BI65" i="12"/>
  <c r="BI51" i="12"/>
  <c r="BI26" i="12"/>
  <c r="BH26" i="12"/>
  <c r="BI22" i="12"/>
  <c r="AQ87" i="12"/>
  <c r="AR75" i="12"/>
  <c r="AQ69" i="12"/>
  <c r="AQ63" i="12"/>
  <c r="AR59" i="12"/>
  <c r="AQ59" i="12"/>
  <c r="AQ57" i="12"/>
  <c r="AR49" i="12"/>
  <c r="AQ42" i="12"/>
  <c r="AQ33" i="12"/>
  <c r="AQ31" i="12"/>
  <c r="AR26" i="12"/>
  <c r="AQ26" i="12"/>
  <c r="F109" i="1"/>
  <c r="J36" i="1"/>
  <c r="N52" i="1"/>
  <c r="V52" i="1"/>
  <c r="J45" i="1"/>
  <c r="H75" i="1"/>
  <c r="H53" i="1"/>
  <c r="G75" i="1"/>
  <c r="G53" i="1"/>
  <c r="F75" i="1"/>
  <c r="F53" i="1"/>
  <c r="O66" i="1"/>
  <c r="N66" i="1"/>
  <c r="N56" i="1"/>
  <c r="J56" i="1"/>
  <c r="O56" i="1"/>
  <c r="F140" i="22"/>
  <c r="H142" i="22"/>
  <c r="I142" i="22"/>
  <c r="F198" i="1"/>
  <c r="J195" i="1"/>
  <c r="Q195" i="1"/>
  <c r="F222" i="22"/>
  <c r="H210" i="22"/>
  <c r="I210" i="22"/>
  <c r="H208" i="22"/>
  <c r="I208" i="22"/>
  <c r="H207" i="22"/>
  <c r="I207" i="22"/>
  <c r="G171" i="22"/>
  <c r="I89" i="15"/>
  <c r="K179" i="1"/>
  <c r="I14" i="1"/>
  <c r="L14" i="1"/>
  <c r="M14" i="1"/>
  <c r="J22" i="1"/>
  <c r="E22" i="1"/>
  <c r="F21" i="1"/>
  <c r="G21" i="1"/>
  <c r="H21" i="1"/>
  <c r="I21" i="1"/>
  <c r="K21" i="1"/>
  <c r="L21" i="1"/>
  <c r="M21" i="1"/>
  <c r="N21" i="1"/>
  <c r="O21" i="1"/>
  <c r="P21" i="1"/>
  <c r="E921" i="24"/>
  <c r="C921" i="24"/>
  <c r="E2483" i="24"/>
  <c r="H2483" i="24"/>
  <c r="C2483" i="24"/>
  <c r="C2538" i="24"/>
  <c r="BQ51" i="12"/>
  <c r="BO51" i="12"/>
  <c r="BJ64" i="12"/>
  <c r="BJ56" i="12"/>
  <c r="BJ34" i="12"/>
  <c r="AS65" i="12"/>
  <c r="AS61" i="12"/>
  <c r="AQ61" i="12"/>
  <c r="AS32" i="12"/>
  <c r="E138" i="27"/>
  <c r="F138" i="27"/>
  <c r="D18" i="37"/>
  <c r="E18" i="37"/>
  <c r="C18" i="37"/>
  <c r="I18" i="37"/>
  <c r="E90" i="32"/>
  <c r="D90" i="32"/>
  <c r="C90" i="32"/>
  <c r="I90" i="32"/>
  <c r="E85" i="32"/>
  <c r="D85" i="32"/>
  <c r="C85" i="32"/>
  <c r="I85" i="32"/>
  <c r="E83" i="32"/>
  <c r="H83" i="32"/>
  <c r="D83" i="32"/>
  <c r="C83" i="32"/>
  <c r="I83" i="32"/>
  <c r="E81" i="32"/>
  <c r="D81" i="32"/>
  <c r="C81" i="32"/>
  <c r="I81" i="32"/>
  <c r="E79" i="32"/>
  <c r="D79" i="32"/>
  <c r="H79" i="32"/>
  <c r="C79" i="32"/>
  <c r="I79" i="32"/>
  <c r="F2012" i="29"/>
  <c r="F2018" i="29"/>
  <c r="G2012" i="29"/>
  <c r="G2018" i="29"/>
  <c r="D1821" i="29"/>
  <c r="E1816" i="29"/>
  <c r="H1816" i="29"/>
  <c r="C1816" i="29"/>
  <c r="D1964" i="29"/>
  <c r="E1964" i="29"/>
  <c r="C1964" i="29"/>
  <c r="J85" i="1"/>
  <c r="J84" i="1"/>
  <c r="J86" i="1"/>
  <c r="E86" i="1"/>
  <c r="R86" i="1"/>
  <c r="G84" i="1"/>
  <c r="H84" i="1"/>
  <c r="I84" i="1"/>
  <c r="K84" i="1"/>
  <c r="L84" i="1"/>
  <c r="M84" i="1"/>
  <c r="N84" i="1"/>
  <c r="O84" i="1"/>
  <c r="P84" i="1"/>
  <c r="E87" i="12"/>
  <c r="D87" i="12"/>
  <c r="E82" i="12"/>
  <c r="D82" i="12"/>
  <c r="E78" i="12"/>
  <c r="D78" i="12"/>
  <c r="E61" i="12"/>
  <c r="D61" i="12"/>
  <c r="E37" i="12"/>
  <c r="D37" i="12"/>
  <c r="E19" i="12"/>
  <c r="D19" i="12"/>
  <c r="D21" i="12"/>
  <c r="E16" i="12"/>
  <c r="D16" i="12"/>
  <c r="I73" i="15"/>
  <c r="C14" i="37"/>
  <c r="D14" i="37"/>
  <c r="E14" i="37"/>
  <c r="H14" i="37"/>
  <c r="E11" i="37"/>
  <c r="D11" i="37"/>
  <c r="C11" i="37"/>
  <c r="E32" i="32"/>
  <c r="C32" i="32"/>
  <c r="D1924" i="29"/>
  <c r="E1924" i="29"/>
  <c r="C1924" i="29"/>
  <c r="K45" i="12"/>
  <c r="K106" i="1"/>
  <c r="L106" i="1"/>
  <c r="M106" i="1"/>
  <c r="J108" i="1"/>
  <c r="R108" i="1"/>
  <c r="Q108" i="1"/>
  <c r="E9" i="37"/>
  <c r="I45" i="37"/>
  <c r="I44" i="37"/>
  <c r="I42" i="37"/>
  <c r="G35" i="37"/>
  <c r="F35" i="37"/>
  <c r="H34" i="37"/>
  <c r="E33" i="37"/>
  <c r="I33" i="37"/>
  <c r="D33" i="37"/>
  <c r="C33" i="37"/>
  <c r="H32" i="37"/>
  <c r="E31" i="37"/>
  <c r="H31" i="37"/>
  <c r="D31" i="37"/>
  <c r="C31" i="37"/>
  <c r="I31" i="37"/>
  <c r="H30" i="37"/>
  <c r="E29" i="37"/>
  <c r="E35" i="37"/>
  <c r="D29" i="37"/>
  <c r="D35" i="37"/>
  <c r="C29" i="37"/>
  <c r="H28" i="37"/>
  <c r="E27" i="37"/>
  <c r="D27" i="37"/>
  <c r="C27" i="37"/>
  <c r="C35" i="37"/>
  <c r="C49" i="37"/>
  <c r="H26" i="37"/>
  <c r="H25" i="37"/>
  <c r="H23" i="37"/>
  <c r="E16" i="37"/>
  <c r="D16" i="37"/>
  <c r="C16" i="37"/>
  <c r="I16" i="37"/>
  <c r="D9" i="37"/>
  <c r="C9" i="37"/>
  <c r="I9" i="37"/>
  <c r="I8" i="37"/>
  <c r="H8" i="37"/>
  <c r="E10" i="34"/>
  <c r="I10" i="34"/>
  <c r="E11" i="34"/>
  <c r="C10" i="34"/>
  <c r="D1912" i="29"/>
  <c r="E1912" i="29"/>
  <c r="C1912" i="29"/>
  <c r="E1024" i="29"/>
  <c r="C1024" i="29"/>
  <c r="I1024" i="29"/>
  <c r="E497" i="29"/>
  <c r="E535" i="29"/>
  <c r="C497" i="29"/>
  <c r="I497" i="29"/>
  <c r="E299" i="29"/>
  <c r="E327" i="29"/>
  <c r="C299" i="29"/>
  <c r="E298" i="29"/>
  <c r="C139" i="27"/>
  <c r="G139" i="27"/>
  <c r="P69" i="31"/>
  <c r="BF45" i="12"/>
  <c r="BG45" i="12"/>
  <c r="BG95" i="12"/>
  <c r="BG21" i="12"/>
  <c r="E264" i="1"/>
  <c r="E265" i="1"/>
  <c r="E219" i="24"/>
  <c r="C219" i="24"/>
  <c r="C923" i="24"/>
  <c r="E923" i="24"/>
  <c r="C3969" i="24"/>
  <c r="E3969" i="24"/>
  <c r="C2441" i="24"/>
  <c r="E2441" i="24"/>
  <c r="E2690" i="24"/>
  <c r="S220" i="1"/>
  <c r="S304" i="1"/>
  <c r="C26" i="31"/>
  <c r="H26" i="31"/>
  <c r="C25" i="31"/>
  <c r="H25" i="31"/>
  <c r="C24" i="31"/>
  <c r="H24" i="31"/>
  <c r="C23" i="31"/>
  <c r="T72" i="12"/>
  <c r="O65" i="1"/>
  <c r="T65" i="1"/>
  <c r="N65" i="1"/>
  <c r="I136" i="15"/>
  <c r="I133" i="15"/>
  <c r="J133" i="15"/>
  <c r="G254" i="22"/>
  <c r="G216" i="22"/>
  <c r="N227" i="1"/>
  <c r="V227" i="1"/>
  <c r="K264" i="1"/>
  <c r="K258" i="1"/>
  <c r="AI16" i="12"/>
  <c r="AD90" i="12"/>
  <c r="AD89" i="12"/>
  <c r="AD88" i="12"/>
  <c r="AD87" i="12"/>
  <c r="AD86" i="12"/>
  <c r="AD85" i="12"/>
  <c r="AD84" i="12"/>
  <c r="AD83" i="12"/>
  <c r="AD82" i="12"/>
  <c r="AD81" i="12"/>
  <c r="AD80" i="12"/>
  <c r="AD79" i="12"/>
  <c r="AD78" i="12"/>
  <c r="AD77" i="12"/>
  <c r="AD76" i="12"/>
  <c r="AD75" i="12"/>
  <c r="AD74" i="12"/>
  <c r="AD73" i="12"/>
  <c r="AD72" i="12"/>
  <c r="AD71" i="12"/>
  <c r="AD70" i="12"/>
  <c r="AD69" i="12"/>
  <c r="AD68" i="12"/>
  <c r="AD67" i="12"/>
  <c r="AD66" i="12"/>
  <c r="AD65" i="12"/>
  <c r="AD64" i="12"/>
  <c r="AD63" i="12"/>
  <c r="AD62" i="12"/>
  <c r="AD61" i="12"/>
  <c r="AD60" i="12"/>
  <c r="AD59" i="12"/>
  <c r="AD58" i="12"/>
  <c r="AD57" i="12"/>
  <c r="AD56" i="12"/>
  <c r="AD55" i="12"/>
  <c r="AD54" i="12"/>
  <c r="AD53" i="12"/>
  <c r="AD52" i="12"/>
  <c r="AD51" i="12"/>
  <c r="AD50" i="12"/>
  <c r="AD49" i="12"/>
  <c r="AD95" i="12"/>
  <c r="AD48" i="12"/>
  <c r="AD47" i="12"/>
  <c r="AD46" i="12"/>
  <c r="AD44" i="12"/>
  <c r="AD43" i="12"/>
  <c r="AD42" i="12"/>
  <c r="AD41" i="12"/>
  <c r="AD40" i="12"/>
  <c r="AD39" i="12"/>
  <c r="AD38" i="12"/>
  <c r="AD37" i="12"/>
  <c r="AD36" i="12"/>
  <c r="AD35" i="12"/>
  <c r="AD34" i="12"/>
  <c r="AD33" i="12"/>
  <c r="AD32" i="12"/>
  <c r="AD31" i="12"/>
  <c r="AD30" i="12"/>
  <c r="AD29" i="12"/>
  <c r="AD28" i="12"/>
  <c r="AD27" i="12"/>
  <c r="AD26" i="12"/>
  <c r="AD25" i="12"/>
  <c r="AD24" i="12"/>
  <c r="AD45" i="12"/>
  <c r="AD23" i="12"/>
  <c r="AD22" i="12"/>
  <c r="AD17" i="12"/>
  <c r="AD18" i="12"/>
  <c r="AD19" i="12"/>
  <c r="AD20" i="12"/>
  <c r="AD16" i="12"/>
  <c r="AF95" i="12"/>
  <c r="AG95" i="12"/>
  <c r="AH95" i="12"/>
  <c r="AF45" i="12"/>
  <c r="AF114" i="12"/>
  <c r="AF118" i="12"/>
  <c r="AG45" i="12"/>
  <c r="AG114" i="12"/>
  <c r="AG118" i="12"/>
  <c r="AH45" i="12"/>
  <c r="AH114" i="12"/>
  <c r="AH118" i="12"/>
  <c r="AF21" i="12"/>
  <c r="AG21" i="12"/>
  <c r="AH21" i="12"/>
  <c r="AI17" i="12"/>
  <c r="AI18" i="12"/>
  <c r="AI19" i="12"/>
  <c r="AI20" i="12"/>
  <c r="AI21" i="12"/>
  <c r="AI23" i="12"/>
  <c r="AI24" i="12"/>
  <c r="AI25" i="12"/>
  <c r="AI26" i="12"/>
  <c r="AI27" i="12"/>
  <c r="AI28" i="12"/>
  <c r="AI29" i="12"/>
  <c r="AI30" i="12"/>
  <c r="AI31" i="12"/>
  <c r="AI32" i="12"/>
  <c r="AI33" i="12"/>
  <c r="AI34" i="12"/>
  <c r="AI35" i="12"/>
  <c r="AI36" i="12"/>
  <c r="AI37" i="12"/>
  <c r="AI38" i="12"/>
  <c r="AI39" i="12"/>
  <c r="AI40" i="12"/>
  <c r="AI41" i="12"/>
  <c r="AI42" i="12"/>
  <c r="AI43" i="12"/>
  <c r="AI44" i="12"/>
  <c r="AI46" i="12"/>
  <c r="AI47" i="12"/>
  <c r="AI48" i="12"/>
  <c r="AI49" i="12"/>
  <c r="AI50" i="12"/>
  <c r="AI51" i="12"/>
  <c r="AI52" i="12"/>
  <c r="AI53" i="12"/>
  <c r="AI54" i="12"/>
  <c r="AI55" i="12"/>
  <c r="AI56" i="12"/>
  <c r="AI57" i="12"/>
  <c r="AI58" i="12"/>
  <c r="AI59" i="12"/>
  <c r="AI60" i="12"/>
  <c r="AI61" i="12"/>
  <c r="AI62" i="12"/>
  <c r="AI63" i="12"/>
  <c r="AI64" i="12"/>
  <c r="AI65" i="12"/>
  <c r="AI66" i="12"/>
  <c r="AI67" i="12"/>
  <c r="AI68" i="12"/>
  <c r="AI69" i="12"/>
  <c r="AI70" i="12"/>
  <c r="AI71" i="12"/>
  <c r="AI72" i="12"/>
  <c r="AI73" i="12"/>
  <c r="AI74" i="12"/>
  <c r="AI75" i="12"/>
  <c r="AI76" i="12"/>
  <c r="AI77" i="12"/>
  <c r="AI78" i="12"/>
  <c r="AI79" i="12"/>
  <c r="AI80" i="12"/>
  <c r="AI81" i="12"/>
  <c r="AI82" i="12"/>
  <c r="AI83" i="12"/>
  <c r="AI84" i="12"/>
  <c r="AI85" i="12"/>
  <c r="AI86" i="12"/>
  <c r="AI87" i="12"/>
  <c r="AI88" i="12"/>
  <c r="AI89" i="12"/>
  <c r="AI90" i="12"/>
  <c r="AI91" i="12"/>
  <c r="AI92" i="12"/>
  <c r="AI93" i="12"/>
  <c r="AI94" i="12"/>
  <c r="AI22" i="12"/>
  <c r="AI45" i="12"/>
  <c r="AI114" i="12"/>
  <c r="AI118" i="12"/>
  <c r="AE95" i="12"/>
  <c r="AE45" i="12"/>
  <c r="AE114" i="12"/>
  <c r="AE118" i="12"/>
  <c r="AE21" i="12"/>
  <c r="G159" i="1"/>
  <c r="G158" i="1"/>
  <c r="L30" i="12"/>
  <c r="G79" i="22"/>
  <c r="F79" i="22"/>
  <c r="J113" i="1"/>
  <c r="R113" i="1"/>
  <c r="J111" i="1"/>
  <c r="J110" i="1"/>
  <c r="J109" i="1"/>
  <c r="P159" i="1"/>
  <c r="O159" i="1"/>
  <c r="O158" i="1"/>
  <c r="N159" i="1"/>
  <c r="G153" i="1"/>
  <c r="F153" i="1"/>
  <c r="F152" i="1"/>
  <c r="E152" i="1"/>
  <c r="R152" i="1"/>
  <c r="H151" i="1"/>
  <c r="G151" i="1"/>
  <c r="G150" i="1"/>
  <c r="F151" i="1"/>
  <c r="P149" i="1"/>
  <c r="P145" i="1"/>
  <c r="O149" i="1"/>
  <c r="N149" i="1"/>
  <c r="H149" i="1"/>
  <c r="G149" i="1"/>
  <c r="G145" i="1"/>
  <c r="F149" i="1"/>
  <c r="J98" i="1"/>
  <c r="E98" i="1"/>
  <c r="R98" i="1"/>
  <c r="J97" i="1"/>
  <c r="E97" i="1"/>
  <c r="J96" i="1"/>
  <c r="E96" i="1"/>
  <c r="P95" i="1"/>
  <c r="O95" i="1"/>
  <c r="N95" i="1"/>
  <c r="M95" i="1"/>
  <c r="L95" i="1"/>
  <c r="K95" i="1"/>
  <c r="I95" i="1"/>
  <c r="H95" i="1"/>
  <c r="G95" i="1"/>
  <c r="F95" i="1"/>
  <c r="J94" i="1"/>
  <c r="J93" i="1"/>
  <c r="E94" i="1"/>
  <c r="R94" i="1"/>
  <c r="P93" i="1"/>
  <c r="O93" i="1"/>
  <c r="N93" i="1"/>
  <c r="M93" i="1"/>
  <c r="L93" i="1"/>
  <c r="K93" i="1"/>
  <c r="I93" i="1"/>
  <c r="H93" i="1"/>
  <c r="G93" i="1"/>
  <c r="F93" i="1"/>
  <c r="H2016" i="29"/>
  <c r="H2017" i="29"/>
  <c r="C1341" i="29"/>
  <c r="D1958" i="29"/>
  <c r="E1958" i="29"/>
  <c r="F1958" i="29"/>
  <c r="G1958" i="29"/>
  <c r="C1958" i="29"/>
  <c r="D1835" i="29"/>
  <c r="D1935" i="29"/>
  <c r="E1935" i="29"/>
  <c r="C1935" i="29"/>
  <c r="F1835" i="29"/>
  <c r="G1835" i="29"/>
  <c r="D48" i="35"/>
  <c r="D49" i="35"/>
  <c r="E43" i="34"/>
  <c r="D43" i="34"/>
  <c r="D44" i="34"/>
  <c r="D17" i="34"/>
  <c r="E17" i="34"/>
  <c r="H17" i="34"/>
  <c r="C17" i="34"/>
  <c r="E15" i="34"/>
  <c r="D15" i="34"/>
  <c r="C15" i="34"/>
  <c r="I15" i="34"/>
  <c r="D2003" i="29"/>
  <c r="E1991" i="29"/>
  <c r="D1991" i="29"/>
  <c r="C1991" i="29"/>
  <c r="E1989" i="29"/>
  <c r="D1989" i="29"/>
  <c r="C1989" i="29"/>
  <c r="E1987" i="29"/>
  <c r="D1987" i="29"/>
  <c r="C1987" i="29"/>
  <c r="E1985" i="29"/>
  <c r="D1985" i="29"/>
  <c r="C1985" i="29"/>
  <c r="E1983" i="29"/>
  <c r="D1983" i="29"/>
  <c r="C1983" i="29"/>
  <c r="E1981" i="29"/>
  <c r="D1981" i="29"/>
  <c r="C1981" i="29"/>
  <c r="E1979" i="29"/>
  <c r="D1979" i="29"/>
  <c r="C1979" i="29"/>
  <c r="E1977" i="29"/>
  <c r="D1977" i="29"/>
  <c r="C1977" i="29"/>
  <c r="E1975" i="29"/>
  <c r="D1975" i="29"/>
  <c r="C1975" i="29"/>
  <c r="E1973" i="29"/>
  <c r="D1973" i="29"/>
  <c r="C1973" i="29"/>
  <c r="E1971" i="29"/>
  <c r="D1971" i="29"/>
  <c r="C1971" i="29"/>
  <c r="E1969" i="29"/>
  <c r="D1969" i="29"/>
  <c r="C1969" i="29"/>
  <c r="D1953" i="29"/>
  <c r="E1953" i="29"/>
  <c r="C1953" i="29"/>
  <c r="C1797" i="29"/>
  <c r="D1949" i="29"/>
  <c r="E1949" i="29"/>
  <c r="C1949" i="29"/>
  <c r="D1946" i="29"/>
  <c r="E1946" i="29"/>
  <c r="D1846" i="29"/>
  <c r="E1846" i="29"/>
  <c r="C1846" i="29"/>
  <c r="D1941" i="29"/>
  <c r="E1941" i="29"/>
  <c r="C1941" i="29"/>
  <c r="C1292" i="29"/>
  <c r="D1919" i="29"/>
  <c r="E1919" i="29"/>
  <c r="C1919" i="29"/>
  <c r="E202" i="29"/>
  <c r="H202" i="29"/>
  <c r="C202" i="29"/>
  <c r="D1938" i="29"/>
  <c r="E1938" i="29"/>
  <c r="C1938" i="29"/>
  <c r="D1864" i="29"/>
  <c r="E1864" i="29"/>
  <c r="C1864" i="29"/>
  <c r="I25" i="15"/>
  <c r="I78" i="15"/>
  <c r="H241" i="22"/>
  <c r="I241" i="22"/>
  <c r="H242" i="22"/>
  <c r="K242" i="22"/>
  <c r="H243" i="22"/>
  <c r="I243" i="22"/>
  <c r="F244" i="22"/>
  <c r="F237" i="22"/>
  <c r="G244" i="22"/>
  <c r="H245" i="22"/>
  <c r="I245" i="22"/>
  <c r="G251" i="1"/>
  <c r="H251" i="1"/>
  <c r="I251" i="1"/>
  <c r="K251" i="1"/>
  <c r="L251" i="1"/>
  <c r="M251" i="1"/>
  <c r="N251" i="1"/>
  <c r="O251" i="1"/>
  <c r="P251" i="1"/>
  <c r="J252" i="1"/>
  <c r="AJ21" i="12"/>
  <c r="AJ114" i="12"/>
  <c r="AJ118" i="12"/>
  <c r="AK21" i="12"/>
  <c r="AL21" i="12"/>
  <c r="AL114" i="12"/>
  <c r="AL118" i="12"/>
  <c r="C118" i="27"/>
  <c r="G118" i="27"/>
  <c r="G32" i="1"/>
  <c r="H32" i="1"/>
  <c r="I32" i="1"/>
  <c r="L32" i="1"/>
  <c r="M32" i="1"/>
  <c r="P32" i="1"/>
  <c r="E52" i="1"/>
  <c r="C133" i="27"/>
  <c r="G133" i="27"/>
  <c r="C132" i="27"/>
  <c r="G132" i="27"/>
  <c r="I74" i="15"/>
  <c r="C137" i="27"/>
  <c r="C43" i="34"/>
  <c r="C44" i="34"/>
  <c r="E1892" i="29"/>
  <c r="C1892" i="29"/>
  <c r="I1892" i="29"/>
  <c r="E1052" i="29"/>
  <c r="C1052" i="29"/>
  <c r="E68" i="32"/>
  <c r="D68" i="32"/>
  <c r="I68" i="32"/>
  <c r="C68" i="32"/>
  <c r="E43" i="32"/>
  <c r="D43" i="32"/>
  <c r="C43" i="32"/>
  <c r="I43" i="32"/>
  <c r="D41" i="32"/>
  <c r="C34" i="32"/>
  <c r="H34" i="32"/>
  <c r="D35" i="32"/>
  <c r="H35" i="32"/>
  <c r="D27" i="32"/>
  <c r="H8" i="32"/>
  <c r="I45" i="35"/>
  <c r="I44" i="35"/>
  <c r="I42" i="35"/>
  <c r="G35" i="35"/>
  <c r="F35" i="35"/>
  <c r="E33" i="35"/>
  <c r="H33" i="35"/>
  <c r="D33" i="35"/>
  <c r="C33" i="35"/>
  <c r="E31" i="35"/>
  <c r="I31" i="35"/>
  <c r="D31" i="35"/>
  <c r="C31" i="35"/>
  <c r="E29" i="35"/>
  <c r="D29" i="35"/>
  <c r="C29" i="35"/>
  <c r="E27" i="35"/>
  <c r="D27" i="35"/>
  <c r="C27" i="35"/>
  <c r="E25" i="35"/>
  <c r="D25" i="35"/>
  <c r="C25" i="35"/>
  <c r="E23" i="35"/>
  <c r="D23" i="35"/>
  <c r="C23" i="35"/>
  <c r="I23" i="35"/>
  <c r="E21" i="35"/>
  <c r="D21" i="35"/>
  <c r="C21" i="35"/>
  <c r="E19" i="35"/>
  <c r="H19" i="35"/>
  <c r="D19" i="35"/>
  <c r="C19" i="35"/>
  <c r="E16" i="35"/>
  <c r="D16" i="35"/>
  <c r="C16" i="35"/>
  <c r="E11" i="35"/>
  <c r="D11" i="35"/>
  <c r="C11" i="35"/>
  <c r="E9" i="35"/>
  <c r="D9" i="35"/>
  <c r="C9" i="35"/>
  <c r="C35" i="35"/>
  <c r="I8" i="35"/>
  <c r="H8" i="35"/>
  <c r="I40" i="34"/>
  <c r="I39" i="34"/>
  <c r="I37" i="34"/>
  <c r="G30" i="34"/>
  <c r="F30" i="34"/>
  <c r="E26" i="34"/>
  <c r="D26" i="34"/>
  <c r="C26" i="34"/>
  <c r="H26" i="34"/>
  <c r="E24" i="34"/>
  <c r="D24" i="34"/>
  <c r="C24" i="34"/>
  <c r="I24" i="34"/>
  <c r="E22" i="34"/>
  <c r="H22" i="34"/>
  <c r="D22" i="34"/>
  <c r="C22" i="34"/>
  <c r="E13" i="34"/>
  <c r="D13" i="34"/>
  <c r="C13" i="34"/>
  <c r="I13" i="34"/>
  <c r="D11" i="34"/>
  <c r="E9" i="34"/>
  <c r="D9" i="34"/>
  <c r="D30" i="34"/>
  <c r="C9" i="34"/>
  <c r="I8" i="34"/>
  <c r="H8" i="34"/>
  <c r="C1605" i="29"/>
  <c r="E1817" i="29"/>
  <c r="C1817" i="29"/>
  <c r="C1821" i="29"/>
  <c r="D1932" i="29"/>
  <c r="E1932" i="29"/>
  <c r="C1932" i="29"/>
  <c r="C1927" i="29"/>
  <c r="D1927" i="29"/>
  <c r="E1927" i="29"/>
  <c r="E1806" i="29"/>
  <c r="C1806" i="29"/>
  <c r="I1806" i="29"/>
  <c r="E1804" i="29"/>
  <c r="C1804" i="29"/>
  <c r="E1803" i="29"/>
  <c r="C1803" i="29"/>
  <c r="H1803" i="29"/>
  <c r="D1879" i="29"/>
  <c r="E1879" i="29"/>
  <c r="C1879" i="29"/>
  <c r="D1801" i="29"/>
  <c r="D1853" i="29"/>
  <c r="D1906" i="29"/>
  <c r="C1906" i="29"/>
  <c r="C1915" i="29"/>
  <c r="D1915" i="29"/>
  <c r="E1915" i="29"/>
  <c r="F1915" i="29"/>
  <c r="G1915" i="29"/>
  <c r="E1832" i="29"/>
  <c r="E1835" i="29"/>
  <c r="C1832" i="29"/>
  <c r="I1832" i="29"/>
  <c r="D1896" i="29"/>
  <c r="I71" i="15"/>
  <c r="D122" i="32"/>
  <c r="I119" i="32"/>
  <c r="E1217" i="29"/>
  <c r="E1265" i="29"/>
  <c r="C1217" i="29"/>
  <c r="E786" i="29"/>
  <c r="C786" i="29"/>
  <c r="C297" i="29"/>
  <c r="C1842" i="29"/>
  <c r="C1830" i="29"/>
  <c r="C1827" i="29"/>
  <c r="C1909" i="29"/>
  <c r="C748" i="29"/>
  <c r="E1848" i="29"/>
  <c r="E1847" i="29"/>
  <c r="C1848" i="29"/>
  <c r="C1847" i="29"/>
  <c r="D1909" i="29"/>
  <c r="E1909" i="29"/>
  <c r="C1868" i="29"/>
  <c r="E16" i="32"/>
  <c r="I116" i="32"/>
  <c r="E39" i="32"/>
  <c r="D39" i="32"/>
  <c r="C39" i="32"/>
  <c r="I39" i="32"/>
  <c r="D37" i="32"/>
  <c r="E31" i="32"/>
  <c r="D31" i="32"/>
  <c r="H31" i="32"/>
  <c r="E29" i="32"/>
  <c r="D29" i="32"/>
  <c r="C29" i="32"/>
  <c r="I29" i="32"/>
  <c r="E18" i="32"/>
  <c r="H18" i="32"/>
  <c r="D18" i="32"/>
  <c r="C18" i="32"/>
  <c r="I18" i="32"/>
  <c r="D16" i="32"/>
  <c r="E14" i="32"/>
  <c r="D14" i="32"/>
  <c r="C14" i="32"/>
  <c r="I14" i="32"/>
  <c r="D1868" i="29"/>
  <c r="E1868" i="29"/>
  <c r="F1868" i="29"/>
  <c r="G1868" i="29"/>
  <c r="E1902" i="29"/>
  <c r="C1902" i="29"/>
  <c r="I1902" i="29"/>
  <c r="E1955" i="29"/>
  <c r="D1955" i="29"/>
  <c r="C1955" i="29"/>
  <c r="E1929" i="29"/>
  <c r="D1929" i="29"/>
  <c r="C1929" i="29"/>
  <c r="E1921" i="29"/>
  <c r="D1921" i="29"/>
  <c r="C1921" i="29"/>
  <c r="E1830" i="29"/>
  <c r="D1830" i="29"/>
  <c r="E1827" i="29"/>
  <c r="D1827" i="29"/>
  <c r="K319" i="22"/>
  <c r="K318" i="22"/>
  <c r="K316" i="22"/>
  <c r="K315" i="22"/>
  <c r="H226" i="22"/>
  <c r="I226" i="22"/>
  <c r="D2007" i="29"/>
  <c r="F248" i="22"/>
  <c r="F250" i="22"/>
  <c r="G228" i="22"/>
  <c r="F232" i="22"/>
  <c r="F219" i="22"/>
  <c r="G118" i="22"/>
  <c r="F132" i="15"/>
  <c r="K132" i="15"/>
  <c r="H132" i="15"/>
  <c r="G14" i="15"/>
  <c r="H175" i="22"/>
  <c r="I175" i="22"/>
  <c r="H177" i="22"/>
  <c r="I177" i="22"/>
  <c r="G152" i="22"/>
  <c r="F152" i="22"/>
  <c r="H154" i="22"/>
  <c r="I154" i="22"/>
  <c r="H155" i="22"/>
  <c r="I155" i="22"/>
  <c r="H156" i="22"/>
  <c r="I156" i="22"/>
  <c r="G196" i="22"/>
  <c r="G178" i="22"/>
  <c r="F196" i="22"/>
  <c r="H197" i="22"/>
  <c r="K197" i="22"/>
  <c r="H128" i="22"/>
  <c r="I128" i="22"/>
  <c r="H129" i="22"/>
  <c r="I129" i="22"/>
  <c r="G198" i="22"/>
  <c r="F198" i="22"/>
  <c r="H200" i="22"/>
  <c r="I200" i="22"/>
  <c r="H201" i="22"/>
  <c r="I201" i="22"/>
  <c r="H203" i="22"/>
  <c r="I203" i="22"/>
  <c r="H204" i="22"/>
  <c r="I204" i="22"/>
  <c r="H211" i="22"/>
  <c r="I211" i="22"/>
  <c r="H278" i="22"/>
  <c r="K278" i="22"/>
  <c r="H280" i="22"/>
  <c r="I280" i="22"/>
  <c r="H281" i="22"/>
  <c r="I281" i="22"/>
  <c r="H283" i="22"/>
  <c r="I283" i="22"/>
  <c r="H284" i="22"/>
  <c r="I284" i="22"/>
  <c r="H285" i="22"/>
  <c r="I285" i="22"/>
  <c r="H286" i="22"/>
  <c r="I286" i="22"/>
  <c r="H287" i="22"/>
  <c r="I287" i="22"/>
  <c r="H288" i="22"/>
  <c r="I288" i="22"/>
  <c r="H289" i="22"/>
  <c r="I289" i="22"/>
  <c r="H290" i="22"/>
  <c r="I290" i="22"/>
  <c r="H291" i="22"/>
  <c r="I291" i="22"/>
  <c r="H292" i="22"/>
  <c r="I292" i="22"/>
  <c r="H293" i="22"/>
  <c r="I293" i="22"/>
  <c r="H294" i="22"/>
  <c r="I294" i="22"/>
  <c r="H295" i="22"/>
  <c r="I295" i="22"/>
  <c r="H296" i="22"/>
  <c r="I296" i="22"/>
  <c r="H297" i="22"/>
  <c r="I297" i="22"/>
  <c r="H298" i="22"/>
  <c r="I298" i="22"/>
  <c r="H299" i="22"/>
  <c r="I299" i="22"/>
  <c r="H300" i="22"/>
  <c r="I300" i="22"/>
  <c r="H301" i="22"/>
  <c r="I301" i="22"/>
  <c r="H302" i="22"/>
  <c r="I302" i="22"/>
  <c r="H303" i="22"/>
  <c r="I303" i="22"/>
  <c r="H304" i="22"/>
  <c r="I304" i="22"/>
  <c r="H305" i="22"/>
  <c r="I305" i="22"/>
  <c r="H306" i="22"/>
  <c r="I306" i="22"/>
  <c r="H307" i="22"/>
  <c r="I307" i="22"/>
  <c r="H308" i="22"/>
  <c r="I308" i="22"/>
  <c r="H309" i="22"/>
  <c r="I309" i="22"/>
  <c r="H310" i="22"/>
  <c r="I310" i="22"/>
  <c r="H311" i="22"/>
  <c r="I311" i="22"/>
  <c r="H312" i="22"/>
  <c r="I312" i="22"/>
  <c r="H313" i="22"/>
  <c r="I313" i="22"/>
  <c r="H227" i="22"/>
  <c r="I227" i="22"/>
  <c r="E15" i="20"/>
  <c r="D15" i="20"/>
  <c r="F13" i="20"/>
  <c r="F23" i="20"/>
  <c r="F12" i="20"/>
  <c r="F22" i="20"/>
  <c r="E13" i="20"/>
  <c r="D13" i="20"/>
  <c r="E12" i="20"/>
  <c r="D12" i="20"/>
  <c r="F15" i="20"/>
  <c r="F25" i="20"/>
  <c r="D65" i="12"/>
  <c r="E65" i="12"/>
  <c r="D58" i="12"/>
  <c r="E58" i="12"/>
  <c r="D48" i="12"/>
  <c r="E48" i="12"/>
  <c r="E95" i="12"/>
  <c r="AU45" i="12"/>
  <c r="AV45" i="12"/>
  <c r="AW45" i="12"/>
  <c r="AX45" i="12"/>
  <c r="AY45" i="12"/>
  <c r="BE95" i="12"/>
  <c r="F95" i="12"/>
  <c r="G95" i="12"/>
  <c r="H95" i="12"/>
  <c r="J95" i="12"/>
  <c r="L95" i="12"/>
  <c r="N95" i="12"/>
  <c r="O95" i="12"/>
  <c r="P95" i="12"/>
  <c r="AC95" i="12"/>
  <c r="AC114" i="12"/>
  <c r="AC118" i="12"/>
  <c r="AJ95" i="12"/>
  <c r="AK95" i="12"/>
  <c r="AL95" i="12"/>
  <c r="AM95" i="12"/>
  <c r="AM114" i="12"/>
  <c r="AM118" i="12"/>
  <c r="AM125" i="12"/>
  <c r="AN95" i="12"/>
  <c r="AN114" i="12"/>
  <c r="AN118" i="12"/>
  <c r="AN125" i="12"/>
  <c r="AO95" i="12"/>
  <c r="AO114" i="12"/>
  <c r="AO118" i="12"/>
  <c r="AT95" i="12"/>
  <c r="AU95" i="12"/>
  <c r="AU114" i="12"/>
  <c r="AU118" i="12"/>
  <c r="AV95" i="12"/>
  <c r="AW95" i="12"/>
  <c r="AW114" i="12"/>
  <c r="AW118" i="12"/>
  <c r="AW125" i="12"/>
  <c r="AX95" i="12"/>
  <c r="AX114" i="12"/>
  <c r="AX118" i="12"/>
  <c r="AY95" i="12"/>
  <c r="AY114" i="12"/>
  <c r="AY118" i="12"/>
  <c r="BF95" i="12"/>
  <c r="BF114" i="12"/>
  <c r="BF118" i="12"/>
  <c r="BK95" i="12"/>
  <c r="BK114" i="12"/>
  <c r="BK118" i="12"/>
  <c r="BL95" i="12"/>
  <c r="BM95" i="12"/>
  <c r="BM114" i="12"/>
  <c r="BM118" i="12"/>
  <c r="BM125" i="12"/>
  <c r="BN95" i="12"/>
  <c r="BN114" i="12"/>
  <c r="BN118" i="12"/>
  <c r="BN125" i="12"/>
  <c r="BP95" i="12"/>
  <c r="BP114" i="12"/>
  <c r="BP118" i="12"/>
  <c r="BP125" i="12"/>
  <c r="C95" i="12"/>
  <c r="BE21" i="12"/>
  <c r="C4166" i="24"/>
  <c r="F4167" i="24"/>
  <c r="G4167" i="24"/>
  <c r="D3965" i="24"/>
  <c r="D4000" i="24"/>
  <c r="D4033" i="24"/>
  <c r="E4033" i="24"/>
  <c r="C4033" i="24"/>
  <c r="I4033" i="24"/>
  <c r="AQ65" i="12"/>
  <c r="AQ51" i="12"/>
  <c r="BU51" i="12"/>
  <c r="BY51" i="12"/>
  <c r="AQ24" i="12"/>
  <c r="AC21" i="12"/>
  <c r="AC45" i="12"/>
  <c r="AA17" i="12"/>
  <c r="AA18" i="12"/>
  <c r="AA19" i="12"/>
  <c r="AA22" i="12"/>
  <c r="AA23" i="12"/>
  <c r="AA24" i="12"/>
  <c r="AA25" i="12"/>
  <c r="AA26" i="12"/>
  <c r="AA27" i="12"/>
  <c r="AA45" i="12"/>
  <c r="AA29" i="12"/>
  <c r="AA30" i="12"/>
  <c r="AA31" i="12"/>
  <c r="AA32" i="12"/>
  <c r="AA33" i="12"/>
  <c r="AA35" i="12"/>
  <c r="AA36" i="12"/>
  <c r="AA37" i="12"/>
  <c r="AA38" i="12"/>
  <c r="AA39" i="12"/>
  <c r="BR39" i="12"/>
  <c r="AA40" i="12"/>
  <c r="AA42" i="12"/>
  <c r="AA44" i="12"/>
  <c r="AA46" i="12"/>
  <c r="AA47" i="12"/>
  <c r="AA48" i="12"/>
  <c r="AA49" i="12"/>
  <c r="AA51" i="12"/>
  <c r="AA52" i="12"/>
  <c r="AA53" i="12"/>
  <c r="AA54" i="12"/>
  <c r="AA55" i="12"/>
  <c r="AA56" i="12"/>
  <c r="AA57" i="12"/>
  <c r="AA58" i="12"/>
  <c r="AA59" i="12"/>
  <c r="AA60" i="12"/>
  <c r="AA61" i="12"/>
  <c r="AA63" i="12"/>
  <c r="AA64" i="12"/>
  <c r="AA65" i="12"/>
  <c r="AA66" i="12"/>
  <c r="AA67" i="12"/>
  <c r="AA68" i="12"/>
  <c r="AA71" i="12"/>
  <c r="AA72" i="12"/>
  <c r="AA73" i="12"/>
  <c r="BR73" i="12"/>
  <c r="AA74" i="12"/>
  <c r="AA75" i="12"/>
  <c r="AA76" i="12"/>
  <c r="AA77" i="12"/>
  <c r="AA79" i="12"/>
  <c r="AA81" i="12"/>
  <c r="AA82" i="12"/>
  <c r="AA83" i="12"/>
  <c r="AA84" i="12"/>
  <c r="AA85" i="12"/>
  <c r="AA86" i="12"/>
  <c r="AA87" i="12"/>
  <c r="AA89" i="12"/>
  <c r="AA90" i="12"/>
  <c r="AA91" i="12"/>
  <c r="AA92" i="12"/>
  <c r="AA93" i="12"/>
  <c r="AA94" i="12"/>
  <c r="AA96" i="12"/>
  <c r="AA97" i="12"/>
  <c r="AA98" i="12"/>
  <c r="AA99" i="12"/>
  <c r="AA100" i="12"/>
  <c r="AA101" i="12"/>
  <c r="AA102" i="12"/>
  <c r="AA103" i="12"/>
  <c r="AA104" i="12"/>
  <c r="AA105" i="12"/>
  <c r="AA106" i="12"/>
  <c r="AA107" i="12"/>
  <c r="AA108" i="12"/>
  <c r="AA109" i="12"/>
  <c r="AA110" i="12"/>
  <c r="AA111" i="12"/>
  <c r="AA112" i="12"/>
  <c r="AA113" i="12"/>
  <c r="AA115" i="12"/>
  <c r="AA116" i="12"/>
  <c r="N21" i="12"/>
  <c r="O21" i="12"/>
  <c r="P21" i="12"/>
  <c r="N45" i="12"/>
  <c r="O45" i="12"/>
  <c r="P45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5" i="12"/>
  <c r="M116" i="12"/>
  <c r="M117" i="12"/>
  <c r="M17" i="12"/>
  <c r="M18" i="12"/>
  <c r="M21" i="12"/>
  <c r="M19" i="12"/>
  <c r="M20" i="12"/>
  <c r="M16" i="12"/>
  <c r="C126" i="27"/>
  <c r="G126" i="27"/>
  <c r="G230" i="1"/>
  <c r="H230" i="1"/>
  <c r="I230" i="1"/>
  <c r="L230" i="1"/>
  <c r="M230" i="1"/>
  <c r="O230" i="1"/>
  <c r="P230" i="1"/>
  <c r="E238" i="1"/>
  <c r="R238" i="1"/>
  <c r="F243" i="1"/>
  <c r="F242" i="1"/>
  <c r="F234" i="1"/>
  <c r="F230" i="1"/>
  <c r="J191" i="1"/>
  <c r="E192" i="1"/>
  <c r="E193" i="1"/>
  <c r="R193" i="1"/>
  <c r="E194" i="1"/>
  <c r="R194" i="1"/>
  <c r="E196" i="1"/>
  <c r="J194" i="1"/>
  <c r="J216" i="1"/>
  <c r="Q216" i="1"/>
  <c r="J210" i="1"/>
  <c r="Q210" i="1"/>
  <c r="F208" i="1"/>
  <c r="G208" i="1"/>
  <c r="H208" i="1"/>
  <c r="I208" i="1"/>
  <c r="K208" i="1"/>
  <c r="L208" i="1"/>
  <c r="M208" i="1"/>
  <c r="O208" i="1"/>
  <c r="P208" i="1"/>
  <c r="F219" i="1"/>
  <c r="G219" i="1"/>
  <c r="H219" i="1"/>
  <c r="I219" i="1"/>
  <c r="K219" i="1"/>
  <c r="L219" i="1"/>
  <c r="M219" i="1"/>
  <c r="J222" i="1"/>
  <c r="J223" i="1"/>
  <c r="J224" i="1"/>
  <c r="E221" i="1"/>
  <c r="N211" i="1"/>
  <c r="V211" i="1"/>
  <c r="F205" i="1"/>
  <c r="G205" i="1"/>
  <c r="H205" i="1"/>
  <c r="I205" i="1"/>
  <c r="K205" i="1"/>
  <c r="L205" i="1"/>
  <c r="M205" i="1"/>
  <c r="N205" i="1"/>
  <c r="O205" i="1"/>
  <c r="T205" i="1"/>
  <c r="P205" i="1"/>
  <c r="E207" i="1"/>
  <c r="R207" i="1"/>
  <c r="J207" i="1"/>
  <c r="E204" i="1"/>
  <c r="E206" i="1"/>
  <c r="R206" i="1"/>
  <c r="J206" i="1"/>
  <c r="J131" i="1"/>
  <c r="J75" i="1"/>
  <c r="N91" i="1"/>
  <c r="V91" i="1"/>
  <c r="J90" i="1"/>
  <c r="N129" i="1"/>
  <c r="V129" i="1"/>
  <c r="G89" i="22"/>
  <c r="F89" i="22"/>
  <c r="H90" i="22"/>
  <c r="I90" i="22"/>
  <c r="N202" i="1"/>
  <c r="N201" i="1"/>
  <c r="J104" i="1"/>
  <c r="E104" i="1"/>
  <c r="R104" i="1"/>
  <c r="F103" i="1"/>
  <c r="G103" i="1"/>
  <c r="H103" i="1"/>
  <c r="I103" i="1"/>
  <c r="K103" i="1"/>
  <c r="L103" i="1"/>
  <c r="M103" i="1"/>
  <c r="N103" i="1"/>
  <c r="O103" i="1"/>
  <c r="P103" i="1"/>
  <c r="E3535" i="24"/>
  <c r="E3569" i="24"/>
  <c r="C3535" i="24"/>
  <c r="E1971" i="24"/>
  <c r="C1971" i="24"/>
  <c r="C1266" i="24"/>
  <c r="E1266" i="24"/>
  <c r="BQ40" i="12"/>
  <c r="BO40" i="12"/>
  <c r="BQ79" i="12"/>
  <c r="BQ33" i="12"/>
  <c r="P126" i="1"/>
  <c r="AQ23" i="12"/>
  <c r="AS75" i="12"/>
  <c r="BJ72" i="12"/>
  <c r="BJ67" i="12"/>
  <c r="BJ61" i="12"/>
  <c r="AQ83" i="12"/>
  <c r="AS67" i="12"/>
  <c r="AS66" i="12"/>
  <c r="C96" i="29"/>
  <c r="E96" i="29"/>
  <c r="D1903" i="29"/>
  <c r="D298" i="29"/>
  <c r="I298" i="29"/>
  <c r="H298" i="29"/>
  <c r="C1824" i="29"/>
  <c r="F1821" i="29"/>
  <c r="G1821" i="29"/>
  <c r="D1811" i="29"/>
  <c r="F1811" i="29"/>
  <c r="G1811" i="29"/>
  <c r="D1088" i="29"/>
  <c r="I2001" i="29"/>
  <c r="D749" i="29"/>
  <c r="H749" i="29"/>
  <c r="D1824" i="29"/>
  <c r="E1824" i="29"/>
  <c r="F1846" i="29"/>
  <c r="G1846" i="29"/>
  <c r="T39" i="12"/>
  <c r="T34" i="12"/>
  <c r="T38" i="12"/>
  <c r="T40" i="12"/>
  <c r="G233" i="1"/>
  <c r="G231" i="1"/>
  <c r="H233" i="1"/>
  <c r="H231" i="1"/>
  <c r="I233" i="1"/>
  <c r="I231" i="1"/>
  <c r="L233" i="1"/>
  <c r="L231" i="1"/>
  <c r="M233" i="1"/>
  <c r="M231" i="1"/>
  <c r="O233" i="1"/>
  <c r="P233" i="1"/>
  <c r="P231" i="1"/>
  <c r="E235" i="1"/>
  <c r="R235" i="1"/>
  <c r="E236" i="1"/>
  <c r="R236" i="1"/>
  <c r="E237" i="1"/>
  <c r="R237" i="1"/>
  <c r="J237" i="1"/>
  <c r="G146" i="22"/>
  <c r="F146" i="22"/>
  <c r="H145" i="22"/>
  <c r="H147" i="22"/>
  <c r="I147" i="22"/>
  <c r="H148" i="22"/>
  <c r="I148" i="22"/>
  <c r="H150" i="22"/>
  <c r="I150" i="22"/>
  <c r="H151" i="22"/>
  <c r="I151" i="22"/>
  <c r="J183" i="1"/>
  <c r="E183" i="1"/>
  <c r="R183" i="1"/>
  <c r="G70" i="22"/>
  <c r="F72" i="1"/>
  <c r="P72" i="1"/>
  <c r="G209" i="22"/>
  <c r="F209" i="22"/>
  <c r="I15" i="15"/>
  <c r="I13" i="15"/>
  <c r="L146" i="15"/>
  <c r="H15" i="15"/>
  <c r="H13" i="15"/>
  <c r="F15" i="15"/>
  <c r="F13" i="15"/>
  <c r="H14" i="15"/>
  <c r="I14" i="15"/>
  <c r="F14" i="15"/>
  <c r="K14" i="15"/>
  <c r="I9" i="15"/>
  <c r="I12" i="15"/>
  <c r="BS81" i="12"/>
  <c r="BT81" i="12"/>
  <c r="BS85" i="12"/>
  <c r="C119" i="27"/>
  <c r="G119" i="27"/>
  <c r="F138" i="1"/>
  <c r="G138" i="1"/>
  <c r="H138" i="1"/>
  <c r="I138" i="1"/>
  <c r="K138" i="1"/>
  <c r="L138" i="1"/>
  <c r="M138" i="1"/>
  <c r="N138" i="1"/>
  <c r="O138" i="1"/>
  <c r="P138" i="1"/>
  <c r="BO90" i="12"/>
  <c r="CA90" i="12"/>
  <c r="BO89" i="12"/>
  <c r="BH89" i="12"/>
  <c r="BO87" i="12"/>
  <c r="CA87" i="12"/>
  <c r="BO86" i="12"/>
  <c r="CA86" i="12"/>
  <c r="BO85" i="12"/>
  <c r="CA85" i="12"/>
  <c r="BO84" i="12"/>
  <c r="BO83" i="12"/>
  <c r="BO82" i="12"/>
  <c r="BO81" i="12"/>
  <c r="CA81" i="12"/>
  <c r="BO80" i="12"/>
  <c r="CA80" i="12"/>
  <c r="BO78" i="12"/>
  <c r="CA78" i="12"/>
  <c r="BO77" i="12"/>
  <c r="BH77" i="12"/>
  <c r="BO76" i="12"/>
  <c r="BH76" i="12"/>
  <c r="CC76" i="12"/>
  <c r="BO75" i="12"/>
  <c r="BO74" i="12"/>
  <c r="BO73" i="12"/>
  <c r="BH73" i="12"/>
  <c r="BO72" i="12"/>
  <c r="BO71" i="12"/>
  <c r="BH71" i="12"/>
  <c r="CC71" i="12"/>
  <c r="BO70" i="12"/>
  <c r="CA70" i="12"/>
  <c r="BO69" i="12"/>
  <c r="CA69" i="12"/>
  <c r="BO68" i="12"/>
  <c r="BH68" i="12"/>
  <c r="BO67" i="12"/>
  <c r="BO66" i="12"/>
  <c r="BO65" i="12"/>
  <c r="CA65" i="12"/>
  <c r="BO64" i="12"/>
  <c r="CA64" i="12"/>
  <c r="BO63" i="12"/>
  <c r="BH63" i="12"/>
  <c r="BO61" i="12"/>
  <c r="CA61" i="12"/>
  <c r="BO60" i="12"/>
  <c r="CA60" i="12"/>
  <c r="BO59" i="12"/>
  <c r="CA59" i="12"/>
  <c r="BO57" i="12"/>
  <c r="BO56" i="12"/>
  <c r="CA56" i="12"/>
  <c r="BO55" i="12"/>
  <c r="BO54" i="12"/>
  <c r="CA54" i="12"/>
  <c r="BO53" i="12"/>
  <c r="BO52" i="12"/>
  <c r="CA52" i="12"/>
  <c r="BO49" i="12"/>
  <c r="BO48" i="12"/>
  <c r="BO47" i="12"/>
  <c r="BH47" i="12"/>
  <c r="CC47" i="12"/>
  <c r="BO46" i="12"/>
  <c r="BH46" i="12"/>
  <c r="BO36" i="12"/>
  <c r="BH36" i="12"/>
  <c r="BO37" i="12"/>
  <c r="BH37" i="12"/>
  <c r="BO38" i="12"/>
  <c r="BH38" i="12"/>
  <c r="BO39" i="12"/>
  <c r="CA39" i="12"/>
  <c r="BO41" i="12"/>
  <c r="BO42" i="12"/>
  <c r="CA42" i="12"/>
  <c r="BO43" i="12"/>
  <c r="CA43" i="12"/>
  <c r="BO44" i="12"/>
  <c r="BO28" i="12"/>
  <c r="BH28" i="12"/>
  <c r="BO29" i="12"/>
  <c r="CA29" i="12"/>
  <c r="BO30" i="12"/>
  <c r="CA30" i="12"/>
  <c r="BO31" i="12"/>
  <c r="BH31" i="12"/>
  <c r="BO34" i="12"/>
  <c r="CA34" i="12"/>
  <c r="BO35" i="12"/>
  <c r="BH35" i="12"/>
  <c r="E111" i="1"/>
  <c r="R111" i="1"/>
  <c r="H276" i="22"/>
  <c r="I276" i="22"/>
  <c r="H275" i="22"/>
  <c r="I275" i="22"/>
  <c r="H274" i="22"/>
  <c r="I274" i="22"/>
  <c r="H273" i="22"/>
  <c r="I273" i="22"/>
  <c r="H272" i="22"/>
  <c r="I272" i="22"/>
  <c r="H271" i="22"/>
  <c r="I271" i="22"/>
  <c r="H270" i="22"/>
  <c r="I270" i="22"/>
  <c r="H269" i="22"/>
  <c r="I269" i="22"/>
  <c r="G268" i="22"/>
  <c r="F268" i="22"/>
  <c r="H267" i="22"/>
  <c r="I267" i="22"/>
  <c r="H266" i="22"/>
  <c r="I266" i="22"/>
  <c r="H265" i="22"/>
  <c r="I265" i="22"/>
  <c r="H264" i="22"/>
  <c r="I264" i="22"/>
  <c r="H263" i="22"/>
  <c r="I263" i="22"/>
  <c r="H262" i="22"/>
  <c r="I262" i="22"/>
  <c r="H224" i="22"/>
  <c r="I224" i="22"/>
  <c r="H223" i="22"/>
  <c r="I223" i="22"/>
  <c r="H221" i="22"/>
  <c r="I221" i="22"/>
  <c r="H259" i="22"/>
  <c r="I259" i="22"/>
  <c r="H258" i="22"/>
  <c r="I258" i="22"/>
  <c r="G257" i="22"/>
  <c r="F257" i="22"/>
  <c r="G256" i="22"/>
  <c r="F256" i="22"/>
  <c r="H255" i="22"/>
  <c r="I255" i="22"/>
  <c r="H253" i="22"/>
  <c r="I253" i="22"/>
  <c r="H252" i="22"/>
  <c r="I252" i="22"/>
  <c r="H251" i="22"/>
  <c r="I251" i="22"/>
  <c r="G250" i="22"/>
  <c r="G249" i="22"/>
  <c r="H247" i="22"/>
  <c r="I247" i="22"/>
  <c r="G246" i="22"/>
  <c r="G237" i="22"/>
  <c r="F246" i="22"/>
  <c r="H240" i="22"/>
  <c r="I240" i="22"/>
  <c r="H235" i="22"/>
  <c r="I235" i="22"/>
  <c r="G234" i="22"/>
  <c r="F234" i="22"/>
  <c r="H233" i="22"/>
  <c r="I233" i="22"/>
  <c r="G232" i="22"/>
  <c r="G229" i="22"/>
  <c r="H231" i="22"/>
  <c r="I231" i="22"/>
  <c r="H218" i="22"/>
  <c r="I218" i="22"/>
  <c r="H217" i="22"/>
  <c r="I217" i="22"/>
  <c r="H215" i="22"/>
  <c r="I215" i="22"/>
  <c r="F214" i="22"/>
  <c r="H213" i="22"/>
  <c r="I213" i="22"/>
  <c r="H212" i="22"/>
  <c r="I212" i="22"/>
  <c r="F202" i="22"/>
  <c r="H199" i="22"/>
  <c r="H195" i="22"/>
  <c r="I195" i="22"/>
  <c r="H194" i="22"/>
  <c r="I194" i="22"/>
  <c r="H193" i="22"/>
  <c r="I193" i="22"/>
  <c r="G192" i="22"/>
  <c r="F192" i="22"/>
  <c r="H191" i="22"/>
  <c r="I191" i="22"/>
  <c r="H190" i="22"/>
  <c r="I190" i="22"/>
  <c r="H189" i="22"/>
  <c r="I189" i="22"/>
  <c r="G188" i="22"/>
  <c r="F188" i="22"/>
  <c r="H187" i="22"/>
  <c r="I187" i="22"/>
  <c r="H186" i="22"/>
  <c r="I186" i="22"/>
  <c r="H185" i="22"/>
  <c r="I185" i="22"/>
  <c r="H184" i="22"/>
  <c r="I184" i="22"/>
  <c r="H183" i="22"/>
  <c r="I183" i="22"/>
  <c r="H182" i="22"/>
  <c r="I182" i="22"/>
  <c r="H181" i="22"/>
  <c r="I181" i="22"/>
  <c r="H180" i="22"/>
  <c r="I180" i="22"/>
  <c r="G176" i="22"/>
  <c r="F176" i="22"/>
  <c r="I176" i="22"/>
  <c r="H172" i="22"/>
  <c r="I172" i="22"/>
  <c r="F171" i="22"/>
  <c r="H170" i="22"/>
  <c r="I170" i="22"/>
  <c r="H169" i="22"/>
  <c r="I169" i="22"/>
  <c r="G168" i="22"/>
  <c r="F168" i="22"/>
  <c r="H168" i="22"/>
  <c r="H167" i="22"/>
  <c r="I167" i="22"/>
  <c r="H166" i="22"/>
  <c r="K166" i="22"/>
  <c r="H165" i="22"/>
  <c r="I165" i="22"/>
  <c r="G164" i="22"/>
  <c r="F164" i="22"/>
  <c r="H163" i="22"/>
  <c r="I163" i="22"/>
  <c r="H162" i="22"/>
  <c r="I162" i="22"/>
  <c r="H161" i="22"/>
  <c r="I161" i="22"/>
  <c r="G160" i="22"/>
  <c r="F160" i="22"/>
  <c r="H159" i="22"/>
  <c r="I159" i="22"/>
  <c r="H158" i="22"/>
  <c r="G157" i="22"/>
  <c r="F157" i="22"/>
  <c r="H153" i="22"/>
  <c r="I153" i="22"/>
  <c r="G149" i="22"/>
  <c r="H149" i="22"/>
  <c r="F149" i="22"/>
  <c r="H144" i="22"/>
  <c r="I144" i="22"/>
  <c r="H143" i="22"/>
  <c r="I143" i="22"/>
  <c r="H141" i="22"/>
  <c r="I141" i="22"/>
  <c r="H88" i="22"/>
  <c r="I88" i="22"/>
  <c r="H87" i="22"/>
  <c r="I87" i="22"/>
  <c r="H86" i="22"/>
  <c r="I86" i="22"/>
  <c r="G85" i="22"/>
  <c r="F85" i="22"/>
  <c r="H84" i="22"/>
  <c r="I84" i="22"/>
  <c r="G83" i="22"/>
  <c r="F83" i="22"/>
  <c r="H137" i="22"/>
  <c r="I137" i="22"/>
  <c r="H136" i="22"/>
  <c r="I136" i="22"/>
  <c r="H134" i="22"/>
  <c r="I134" i="22"/>
  <c r="G133" i="22"/>
  <c r="F133" i="22"/>
  <c r="H135" i="22"/>
  <c r="I135" i="22"/>
  <c r="H132" i="22"/>
  <c r="I132" i="22"/>
  <c r="H131" i="22"/>
  <c r="I131" i="22"/>
  <c r="H130" i="22"/>
  <c r="I130" i="22"/>
  <c r="H127" i="22"/>
  <c r="I127" i="22"/>
  <c r="G126" i="22"/>
  <c r="H125" i="22"/>
  <c r="I125" i="22"/>
  <c r="H124" i="22"/>
  <c r="I124" i="22"/>
  <c r="H123" i="22"/>
  <c r="I123" i="22"/>
  <c r="H122" i="22"/>
  <c r="I122" i="22"/>
  <c r="H121" i="22"/>
  <c r="I121" i="22"/>
  <c r="H120" i="22"/>
  <c r="I120" i="22"/>
  <c r="H117" i="22"/>
  <c r="I117" i="22"/>
  <c r="H116" i="22"/>
  <c r="I116" i="22"/>
  <c r="H115" i="22"/>
  <c r="I115" i="22"/>
  <c r="G114" i="22"/>
  <c r="F114" i="22"/>
  <c r="H113" i="22"/>
  <c r="I113" i="22"/>
  <c r="H112" i="22"/>
  <c r="I112" i="22"/>
  <c r="G111" i="22"/>
  <c r="F111" i="22"/>
  <c r="G109" i="22"/>
  <c r="F109" i="22"/>
  <c r="H109" i="22"/>
  <c r="H108" i="22"/>
  <c r="K108" i="22"/>
  <c r="H107" i="22"/>
  <c r="I107" i="22"/>
  <c r="H106" i="22"/>
  <c r="H105" i="22"/>
  <c r="H104" i="22"/>
  <c r="I104" i="22"/>
  <c r="G103" i="22"/>
  <c r="F103" i="22"/>
  <c r="H102" i="22"/>
  <c r="I102" i="22"/>
  <c r="G101" i="22"/>
  <c r="F101" i="22"/>
  <c r="H101" i="22"/>
  <c r="I101" i="22"/>
  <c r="H100" i="22"/>
  <c r="I100" i="22"/>
  <c r="H99" i="22"/>
  <c r="I99" i="22"/>
  <c r="H98" i="22"/>
  <c r="I98" i="22"/>
  <c r="G97" i="22"/>
  <c r="F97" i="22"/>
  <c r="H96" i="22"/>
  <c r="I96" i="22"/>
  <c r="H95" i="22"/>
  <c r="I95" i="22"/>
  <c r="H94" i="22"/>
  <c r="I94" i="22"/>
  <c r="H93" i="22"/>
  <c r="I93" i="22"/>
  <c r="H92" i="22"/>
  <c r="I92" i="22"/>
  <c r="G91" i="22"/>
  <c r="H91" i="22"/>
  <c r="F91" i="22"/>
  <c r="H82" i="22"/>
  <c r="I82" i="22"/>
  <c r="H81" i="22"/>
  <c r="I81" i="22"/>
  <c r="H78" i="22"/>
  <c r="I78" i="22"/>
  <c r="H77" i="22"/>
  <c r="I77" i="22"/>
  <c r="H76" i="22"/>
  <c r="I76" i="22"/>
  <c r="H75" i="22"/>
  <c r="I75" i="22"/>
  <c r="H74" i="22"/>
  <c r="I74" i="22"/>
  <c r="H73" i="22"/>
  <c r="I73" i="22"/>
  <c r="H71" i="22"/>
  <c r="I71" i="22"/>
  <c r="F70" i="22"/>
  <c r="H69" i="22"/>
  <c r="I69" i="22"/>
  <c r="H68" i="22"/>
  <c r="I68" i="22"/>
  <c r="G67" i="22"/>
  <c r="F67" i="22"/>
  <c r="H66" i="22"/>
  <c r="I66" i="22"/>
  <c r="H65" i="22"/>
  <c r="I65" i="22"/>
  <c r="H64" i="22"/>
  <c r="H63" i="22"/>
  <c r="I63" i="22"/>
  <c r="H62" i="22"/>
  <c r="I62" i="22"/>
  <c r="H61" i="22"/>
  <c r="I61" i="22"/>
  <c r="H60" i="22"/>
  <c r="I60" i="22"/>
  <c r="H59" i="22"/>
  <c r="I59" i="22"/>
  <c r="H58" i="22"/>
  <c r="I58" i="22"/>
  <c r="H57" i="22"/>
  <c r="I57" i="22"/>
  <c r="H55" i="22"/>
  <c r="I55" i="22"/>
  <c r="H54" i="22"/>
  <c r="I54" i="22"/>
  <c r="H53" i="22"/>
  <c r="I53" i="22"/>
  <c r="H50" i="22"/>
  <c r="I50" i="22"/>
  <c r="H49" i="22"/>
  <c r="I49" i="22"/>
  <c r="H48" i="22"/>
  <c r="I48" i="22"/>
  <c r="H47" i="22"/>
  <c r="I47" i="22"/>
  <c r="H46" i="22"/>
  <c r="I46" i="22"/>
  <c r="G45" i="22"/>
  <c r="F45" i="22"/>
  <c r="H44" i="22"/>
  <c r="I44" i="22"/>
  <c r="H43" i="22"/>
  <c r="I43" i="22"/>
  <c r="G42" i="22"/>
  <c r="F42" i="22"/>
  <c r="H41" i="22"/>
  <c r="I41" i="22"/>
  <c r="H40" i="22"/>
  <c r="I40" i="22"/>
  <c r="H39" i="22"/>
  <c r="I39" i="22"/>
  <c r="H38" i="22"/>
  <c r="I38" i="22"/>
  <c r="H37" i="22"/>
  <c r="I37" i="22"/>
  <c r="H36" i="22"/>
  <c r="I36" i="22"/>
  <c r="H35" i="22"/>
  <c r="I35" i="22"/>
  <c r="H34" i="22"/>
  <c r="I34" i="22"/>
  <c r="H33" i="22"/>
  <c r="I33" i="22"/>
  <c r="G31" i="22"/>
  <c r="F31" i="22"/>
  <c r="H27" i="22"/>
  <c r="I27" i="22"/>
  <c r="H26" i="22"/>
  <c r="I26" i="22"/>
  <c r="H19" i="22"/>
  <c r="I19" i="22"/>
  <c r="G18" i="22"/>
  <c r="F18" i="22"/>
  <c r="H17" i="22"/>
  <c r="I17" i="22"/>
  <c r="H16" i="22"/>
  <c r="I16" i="22"/>
  <c r="H15" i="22"/>
  <c r="I15" i="22"/>
  <c r="G14" i="22"/>
  <c r="F14" i="22"/>
  <c r="H13" i="22"/>
  <c r="I13" i="22"/>
  <c r="H12" i="22"/>
  <c r="I12" i="22"/>
  <c r="R12" i="1"/>
  <c r="K40" i="1"/>
  <c r="K32" i="1"/>
  <c r="E76" i="27"/>
  <c r="C76" i="27"/>
  <c r="G76" i="27"/>
  <c r="E75" i="27"/>
  <c r="C75" i="27"/>
  <c r="G75" i="27"/>
  <c r="E74" i="27"/>
  <c r="C74" i="27"/>
  <c r="G74" i="27"/>
  <c r="AV21" i="12"/>
  <c r="AV114" i="12"/>
  <c r="AV118" i="12"/>
  <c r="AP45" i="12"/>
  <c r="BF21" i="12"/>
  <c r="AP21" i="12"/>
  <c r="BK21" i="12"/>
  <c r="BK45" i="12"/>
  <c r="BQ50" i="12"/>
  <c r="BQ95" i="12"/>
  <c r="BP45" i="12"/>
  <c r="BO27" i="12"/>
  <c r="CA27" i="12"/>
  <c r="BO26" i="12"/>
  <c r="CA26" i="12"/>
  <c r="BO25" i="12"/>
  <c r="BH25" i="12"/>
  <c r="BO24" i="12"/>
  <c r="CA24" i="12"/>
  <c r="BO23" i="12"/>
  <c r="CA23" i="12"/>
  <c r="BO22" i="12"/>
  <c r="CA22" i="12"/>
  <c r="BP21" i="12"/>
  <c r="BO20" i="12"/>
  <c r="CA20" i="12"/>
  <c r="BQ17" i="12"/>
  <c r="BO16" i="12"/>
  <c r="AQ117" i="12"/>
  <c r="BS117" i="12"/>
  <c r="BT117" i="12"/>
  <c r="AQ116" i="12"/>
  <c r="BU116" i="12"/>
  <c r="AQ115" i="12"/>
  <c r="AQ113" i="12"/>
  <c r="AQ112" i="12"/>
  <c r="AQ111" i="12"/>
  <c r="CC111" i="12"/>
  <c r="AQ110" i="12"/>
  <c r="AQ109" i="12"/>
  <c r="AQ108" i="12"/>
  <c r="AQ107" i="12"/>
  <c r="AQ106" i="12"/>
  <c r="AQ105" i="12"/>
  <c r="AQ104" i="12"/>
  <c r="AQ103" i="12"/>
  <c r="AQ102" i="12"/>
  <c r="AQ101" i="12"/>
  <c r="AQ100" i="12"/>
  <c r="AQ99" i="12"/>
  <c r="AQ98" i="12"/>
  <c r="AQ97" i="12"/>
  <c r="CC97" i="12"/>
  <c r="AQ96" i="12"/>
  <c r="BU96" i="12"/>
  <c r="AQ90" i="12"/>
  <c r="AQ89" i="12"/>
  <c r="AQ86" i="12"/>
  <c r="AQ85" i="12"/>
  <c r="AQ84" i="12"/>
  <c r="AQ81" i="12"/>
  <c r="AQ80" i="12"/>
  <c r="AQ79" i="12"/>
  <c r="AQ78" i="12"/>
  <c r="AQ77" i="12"/>
  <c r="AQ76" i="12"/>
  <c r="AQ74" i="12"/>
  <c r="CC74" i="12"/>
  <c r="AQ73" i="12"/>
  <c r="AQ71" i="12"/>
  <c r="AQ70" i="12"/>
  <c r="AQ68" i="12"/>
  <c r="AQ64" i="12"/>
  <c r="AQ60" i="12"/>
  <c r="AQ56" i="12"/>
  <c r="AQ54" i="12"/>
  <c r="AQ53" i="12"/>
  <c r="AQ52" i="12"/>
  <c r="AQ50" i="12"/>
  <c r="AQ49" i="12"/>
  <c r="AQ48" i="12"/>
  <c r="AQ47" i="12"/>
  <c r="AQ46" i="12"/>
  <c r="AQ41" i="12"/>
  <c r="AQ40" i="12"/>
  <c r="AQ38" i="12"/>
  <c r="AQ37" i="12"/>
  <c r="AQ36" i="12"/>
  <c r="AQ35" i="12"/>
  <c r="AQ25" i="12"/>
  <c r="AQ22" i="12"/>
  <c r="AQ19" i="12"/>
  <c r="AQ20" i="12"/>
  <c r="F178" i="1"/>
  <c r="G178" i="1"/>
  <c r="H178" i="1"/>
  <c r="I178" i="1"/>
  <c r="L178" i="1"/>
  <c r="M178" i="1"/>
  <c r="N178" i="1"/>
  <c r="O178" i="1"/>
  <c r="P178" i="1"/>
  <c r="T178" i="1"/>
  <c r="AT45" i="12"/>
  <c r="AT114" i="12"/>
  <c r="AT118" i="12"/>
  <c r="AU21" i="12"/>
  <c r="AT21" i="12"/>
  <c r="G45" i="12"/>
  <c r="G21" i="12"/>
  <c r="F45" i="12"/>
  <c r="E21" i="12"/>
  <c r="AM21" i="12"/>
  <c r="AN21" i="12"/>
  <c r="AO21" i="12"/>
  <c r="AW21" i="12"/>
  <c r="AX21" i="12"/>
  <c r="AY21" i="12"/>
  <c r="BL21" i="12"/>
  <c r="BM21" i="12"/>
  <c r="C21" i="12"/>
  <c r="E45" i="12"/>
  <c r="J45" i="12"/>
  <c r="AJ45" i="12"/>
  <c r="AK45" i="12"/>
  <c r="AL45" i="12"/>
  <c r="AM45" i="12"/>
  <c r="AN45" i="12"/>
  <c r="AO45" i="12"/>
  <c r="BL45" i="12"/>
  <c r="BM45" i="12"/>
  <c r="BN45" i="12"/>
  <c r="C45" i="12"/>
  <c r="D4166" i="24"/>
  <c r="I4166" i="24"/>
  <c r="E4068" i="24"/>
  <c r="D4068" i="24"/>
  <c r="C4068" i="24"/>
  <c r="I4068" i="24"/>
  <c r="E3965" i="24"/>
  <c r="C3965" i="24"/>
  <c r="E3930" i="24"/>
  <c r="D3930" i="24"/>
  <c r="C3930" i="24"/>
  <c r="E3895" i="24"/>
  <c r="D3895" i="24"/>
  <c r="C3895" i="24"/>
  <c r="E3860" i="24"/>
  <c r="D3860" i="24"/>
  <c r="C3860" i="24"/>
  <c r="E3639" i="24"/>
  <c r="D3639" i="24"/>
  <c r="BU81" i="12"/>
  <c r="C3639" i="24"/>
  <c r="E3604" i="24"/>
  <c r="D3604" i="24"/>
  <c r="BU80" i="12"/>
  <c r="C3604" i="24"/>
  <c r="D3569" i="24"/>
  <c r="E3534" i="24"/>
  <c r="D3534" i="24"/>
  <c r="C3534" i="24"/>
  <c r="E3499" i="24"/>
  <c r="D3499" i="24"/>
  <c r="C3499" i="24"/>
  <c r="E3464" i="24"/>
  <c r="D3464" i="24"/>
  <c r="C3464" i="24"/>
  <c r="E3429" i="24"/>
  <c r="D3429" i="24"/>
  <c r="C3429" i="24"/>
  <c r="E3394" i="24"/>
  <c r="I3394" i="24"/>
  <c r="D3394" i="24"/>
  <c r="C3394" i="24"/>
  <c r="E3359" i="24"/>
  <c r="D3359" i="24"/>
  <c r="C3359" i="24"/>
  <c r="E3324" i="24"/>
  <c r="D3324" i="24"/>
  <c r="C3324" i="24"/>
  <c r="E3289" i="24"/>
  <c r="D3289" i="24"/>
  <c r="C3289" i="24"/>
  <c r="E3254" i="24"/>
  <c r="D3254" i="24"/>
  <c r="BU70" i="12"/>
  <c r="C3254" i="24"/>
  <c r="D3219" i="24"/>
  <c r="E3184" i="24"/>
  <c r="BX68" i="12"/>
  <c r="D3184" i="24"/>
  <c r="C3184" i="24"/>
  <c r="E3149" i="24"/>
  <c r="H3149" i="24"/>
  <c r="D3149" i="24"/>
  <c r="C3149" i="24"/>
  <c r="E3114" i="24"/>
  <c r="D3114" i="24"/>
  <c r="C3114" i="24"/>
  <c r="E3079" i="24"/>
  <c r="D3079" i="24"/>
  <c r="C3079" i="24"/>
  <c r="E3027" i="24"/>
  <c r="BX64" i="12"/>
  <c r="D3027" i="24"/>
  <c r="E2992" i="24"/>
  <c r="D2992" i="24"/>
  <c r="C2992" i="24"/>
  <c r="D2957" i="24"/>
  <c r="C2957" i="24"/>
  <c r="E2922" i="24"/>
  <c r="BX61" i="12"/>
  <c r="C2922" i="24"/>
  <c r="E2887" i="24"/>
  <c r="D2887" i="24"/>
  <c r="BU60" i="12"/>
  <c r="C2887" i="24"/>
  <c r="E2852" i="24"/>
  <c r="D2852" i="24"/>
  <c r="C2852" i="24"/>
  <c r="C2817" i="24"/>
  <c r="E2669" i="24"/>
  <c r="E4161" i="24"/>
  <c r="D2669" i="24"/>
  <c r="C2669" i="24"/>
  <c r="E2620" i="24"/>
  <c r="D2620" i="24"/>
  <c r="C2620" i="24"/>
  <c r="G2585" i="24"/>
  <c r="F2585" i="24"/>
  <c r="E2585" i="24"/>
  <c r="BX55" i="12"/>
  <c r="D2585" i="24"/>
  <c r="BU55" i="12"/>
  <c r="C2585" i="24"/>
  <c r="E2550" i="24"/>
  <c r="BX54" i="12"/>
  <c r="D2550" i="24"/>
  <c r="I2550" i="24"/>
  <c r="BU54" i="12"/>
  <c r="C2550" i="24"/>
  <c r="E2547" i="24"/>
  <c r="D2547" i="24"/>
  <c r="C2547" i="24"/>
  <c r="E2482" i="24"/>
  <c r="D2482" i="24"/>
  <c r="C2482" i="24"/>
  <c r="I2482" i="24"/>
  <c r="D2472" i="24"/>
  <c r="C2472" i="24"/>
  <c r="E2440" i="24"/>
  <c r="D2440" i="24"/>
  <c r="C2440" i="24"/>
  <c r="E2437" i="24"/>
  <c r="D2437" i="24"/>
  <c r="BU47" i="12"/>
  <c r="BY47" i="12"/>
  <c r="C2437" i="24"/>
  <c r="I2437" i="24"/>
  <c r="E2431" i="24"/>
  <c r="BX46" i="12"/>
  <c r="D2431" i="24"/>
  <c r="BU46" i="12"/>
  <c r="C2431" i="24"/>
  <c r="G2424" i="24"/>
  <c r="F2424" i="24"/>
  <c r="E2424" i="24"/>
  <c r="D2424" i="24"/>
  <c r="BU44" i="12"/>
  <c r="C2424" i="24"/>
  <c r="G2352" i="24"/>
  <c r="F2352" i="24"/>
  <c r="G2211" i="24"/>
  <c r="F2211" i="24"/>
  <c r="E2211" i="24"/>
  <c r="D2211" i="24"/>
  <c r="C2211" i="24"/>
  <c r="G2132" i="24"/>
  <c r="F2132" i="24"/>
  <c r="D2132" i="24"/>
  <c r="BU41" i="12"/>
  <c r="G2046" i="24"/>
  <c r="F2046" i="24"/>
  <c r="D2046" i="24"/>
  <c r="G1969" i="24"/>
  <c r="F1969" i="24"/>
  <c r="E1969" i="24"/>
  <c r="BX39" i="12"/>
  <c r="D1969" i="24"/>
  <c r="C1969" i="24"/>
  <c r="G1875" i="24"/>
  <c r="F1875" i="24"/>
  <c r="E1875" i="24"/>
  <c r="D1875" i="24"/>
  <c r="C1875" i="24"/>
  <c r="G1780" i="24"/>
  <c r="F1780" i="24"/>
  <c r="E1780" i="24"/>
  <c r="D1780" i="24"/>
  <c r="BU37" i="12"/>
  <c r="G1583" i="24"/>
  <c r="F1583" i="24"/>
  <c r="D1583" i="24"/>
  <c r="C1583" i="24"/>
  <c r="G1534" i="24"/>
  <c r="F1534" i="24"/>
  <c r="E1534" i="24"/>
  <c r="D1534" i="24"/>
  <c r="C1534" i="24"/>
  <c r="G1456" i="24"/>
  <c r="G3560" i="24"/>
  <c r="F1456" i="24"/>
  <c r="E1456" i="24"/>
  <c r="D1456" i="24"/>
  <c r="BU34" i="12"/>
  <c r="BY34" i="12"/>
  <c r="C1456" i="24"/>
  <c r="G1386" i="24"/>
  <c r="F1386" i="24"/>
  <c r="D1386" i="24"/>
  <c r="H1386" i="24"/>
  <c r="G1264" i="24"/>
  <c r="F1264" i="24"/>
  <c r="E1264" i="24"/>
  <c r="D1264" i="24"/>
  <c r="G1165" i="24"/>
  <c r="F1165" i="24"/>
  <c r="E1165" i="24"/>
  <c r="D1165" i="24"/>
  <c r="C1165" i="24"/>
  <c r="G1098" i="24"/>
  <c r="F1098" i="24"/>
  <c r="E1098" i="24"/>
  <c r="D1098" i="24"/>
  <c r="C1098" i="24"/>
  <c r="G998" i="24"/>
  <c r="F998" i="24"/>
  <c r="G919" i="24"/>
  <c r="F919" i="24"/>
  <c r="E919" i="24"/>
  <c r="D919" i="24"/>
  <c r="C919" i="24"/>
  <c r="G880" i="24"/>
  <c r="F880" i="24"/>
  <c r="E880" i="24"/>
  <c r="D880" i="24"/>
  <c r="C880" i="24"/>
  <c r="G819" i="24"/>
  <c r="F819" i="24"/>
  <c r="E819" i="24"/>
  <c r="H819" i="24"/>
  <c r="D819" i="24"/>
  <c r="C819" i="24"/>
  <c r="G765" i="24"/>
  <c r="F765" i="24"/>
  <c r="E765" i="24"/>
  <c r="D765" i="24"/>
  <c r="C765" i="24"/>
  <c r="G724" i="24"/>
  <c r="F724" i="24"/>
  <c r="E724" i="24"/>
  <c r="D724" i="24"/>
  <c r="G675" i="24"/>
  <c r="F675" i="24"/>
  <c r="E675" i="24"/>
  <c r="BX23" i="12"/>
  <c r="D675" i="24"/>
  <c r="C675" i="24"/>
  <c r="G615" i="24"/>
  <c r="F615" i="24"/>
  <c r="E615" i="24"/>
  <c r="D615" i="24"/>
  <c r="C615" i="24"/>
  <c r="H615" i="24"/>
  <c r="E562" i="24"/>
  <c r="BX20" i="12"/>
  <c r="D562" i="24"/>
  <c r="C562" i="24"/>
  <c r="H562" i="24"/>
  <c r="G474" i="24"/>
  <c r="F474" i="24"/>
  <c r="D474" i="24"/>
  <c r="G434" i="24"/>
  <c r="F434" i="24"/>
  <c r="E434" i="24"/>
  <c r="C434" i="24"/>
  <c r="I434" i="24"/>
  <c r="D318" i="24"/>
  <c r="G191" i="24"/>
  <c r="F191" i="24"/>
  <c r="E191" i="24"/>
  <c r="D191" i="24"/>
  <c r="C191" i="24"/>
  <c r="I8" i="24"/>
  <c r="H8" i="24"/>
  <c r="E275" i="1"/>
  <c r="Q275" i="1"/>
  <c r="F154" i="1"/>
  <c r="G154" i="1"/>
  <c r="H154" i="1"/>
  <c r="I154" i="1"/>
  <c r="K154" i="1"/>
  <c r="L154" i="1"/>
  <c r="M154" i="1"/>
  <c r="N154" i="1"/>
  <c r="O154" i="1"/>
  <c r="P154" i="1"/>
  <c r="J286" i="1"/>
  <c r="BF126" i="12"/>
  <c r="E286" i="1"/>
  <c r="R286" i="1"/>
  <c r="E49" i="1"/>
  <c r="Q49" i="1"/>
  <c r="F266" i="1"/>
  <c r="G266" i="1"/>
  <c r="H266" i="1"/>
  <c r="I266" i="1"/>
  <c r="K266" i="1"/>
  <c r="L266" i="1"/>
  <c r="M266" i="1"/>
  <c r="N266" i="1"/>
  <c r="O266" i="1"/>
  <c r="P266" i="1"/>
  <c r="F267" i="1"/>
  <c r="G267" i="1"/>
  <c r="H267" i="1"/>
  <c r="I267" i="1"/>
  <c r="K267" i="1"/>
  <c r="L267" i="1"/>
  <c r="M267" i="1"/>
  <c r="N267" i="1"/>
  <c r="O267" i="1"/>
  <c r="P267" i="1"/>
  <c r="J269" i="1"/>
  <c r="E269" i="1"/>
  <c r="F256" i="1"/>
  <c r="J254" i="1"/>
  <c r="E254" i="1"/>
  <c r="J253" i="1"/>
  <c r="E253" i="1"/>
  <c r="G239" i="1"/>
  <c r="H239" i="1"/>
  <c r="I239" i="1"/>
  <c r="K239" i="1"/>
  <c r="L239" i="1"/>
  <c r="M239" i="1"/>
  <c r="O239" i="1"/>
  <c r="P239" i="1"/>
  <c r="E245" i="1"/>
  <c r="E244" i="1"/>
  <c r="F244" i="1"/>
  <c r="G244" i="1"/>
  <c r="H244" i="1"/>
  <c r="I244" i="1"/>
  <c r="K244" i="1"/>
  <c r="L244" i="1"/>
  <c r="M244" i="1"/>
  <c r="N244" i="1"/>
  <c r="O244" i="1"/>
  <c r="T244" i="1"/>
  <c r="P244" i="1"/>
  <c r="E223" i="1"/>
  <c r="Q223" i="1"/>
  <c r="E222" i="1"/>
  <c r="R222" i="1"/>
  <c r="E220" i="1"/>
  <c r="F212" i="1"/>
  <c r="G212" i="1"/>
  <c r="H212" i="1"/>
  <c r="I212" i="1"/>
  <c r="K212" i="1"/>
  <c r="L212" i="1"/>
  <c r="M212" i="1"/>
  <c r="O212" i="1"/>
  <c r="E216" i="1"/>
  <c r="R216" i="1"/>
  <c r="E211" i="1"/>
  <c r="G167" i="1"/>
  <c r="E160" i="1"/>
  <c r="R160" i="1"/>
  <c r="E159" i="1"/>
  <c r="R159" i="1"/>
  <c r="J160" i="1"/>
  <c r="J156" i="1"/>
  <c r="E156" i="1"/>
  <c r="R156" i="1"/>
  <c r="F141" i="1"/>
  <c r="G141" i="1"/>
  <c r="G127" i="1"/>
  <c r="G128" i="1"/>
  <c r="H141" i="1"/>
  <c r="I141" i="1"/>
  <c r="K141" i="1"/>
  <c r="L141" i="1"/>
  <c r="L127" i="1"/>
  <c r="L128" i="1"/>
  <c r="M141" i="1"/>
  <c r="N141" i="1"/>
  <c r="O141" i="1"/>
  <c r="P141" i="1"/>
  <c r="T141" i="1"/>
  <c r="F126" i="1"/>
  <c r="G126" i="1"/>
  <c r="H126" i="1"/>
  <c r="I126" i="1"/>
  <c r="M126" i="1"/>
  <c r="O126" i="1"/>
  <c r="J139" i="1"/>
  <c r="J138" i="1"/>
  <c r="J142" i="1"/>
  <c r="J143" i="1"/>
  <c r="J144" i="1"/>
  <c r="Q144" i="1"/>
  <c r="E142" i="1"/>
  <c r="R142" i="1"/>
  <c r="E143" i="1"/>
  <c r="R143" i="1"/>
  <c r="E144" i="1"/>
  <c r="F135" i="1"/>
  <c r="G135" i="1"/>
  <c r="H135" i="1"/>
  <c r="I135" i="1"/>
  <c r="K135" i="1"/>
  <c r="L135" i="1"/>
  <c r="M135" i="1"/>
  <c r="N135" i="1"/>
  <c r="O135" i="1"/>
  <c r="T135" i="1"/>
  <c r="P135" i="1"/>
  <c r="J137" i="1"/>
  <c r="E137" i="1"/>
  <c r="F117" i="1"/>
  <c r="G117" i="1"/>
  <c r="H117" i="1"/>
  <c r="I117" i="1"/>
  <c r="K117" i="1"/>
  <c r="L117" i="1"/>
  <c r="M117" i="1"/>
  <c r="N117" i="1"/>
  <c r="P117" i="1"/>
  <c r="J124" i="1"/>
  <c r="E124" i="1"/>
  <c r="R124" i="1"/>
  <c r="J116" i="1"/>
  <c r="E116" i="1"/>
  <c r="E110" i="1"/>
  <c r="R110" i="1"/>
  <c r="J60" i="1"/>
  <c r="J19" i="1"/>
  <c r="G17" i="1"/>
  <c r="H17" i="1"/>
  <c r="I17" i="1"/>
  <c r="K17" i="1"/>
  <c r="L17" i="1"/>
  <c r="M17" i="1"/>
  <c r="N17" i="1"/>
  <c r="O17" i="1"/>
  <c r="P17" i="1"/>
  <c r="BH116" i="12"/>
  <c r="CC116" i="12"/>
  <c r="BH115" i="12"/>
  <c r="BW115" i="12"/>
  <c r="BH113" i="12"/>
  <c r="BX113" i="12"/>
  <c r="BH112" i="12"/>
  <c r="BX112" i="12"/>
  <c r="BH111" i="12"/>
  <c r="BX111" i="12"/>
  <c r="BH110" i="12"/>
  <c r="BX110" i="12"/>
  <c r="BH109" i="12"/>
  <c r="BX109" i="12"/>
  <c r="BH108" i="12"/>
  <c r="BX108" i="12"/>
  <c r="BH107" i="12"/>
  <c r="BX107" i="12"/>
  <c r="BH106" i="12"/>
  <c r="BX106" i="12"/>
  <c r="BH105" i="12"/>
  <c r="BH104" i="12"/>
  <c r="BH103" i="12"/>
  <c r="BH101" i="12"/>
  <c r="BX101" i="12"/>
  <c r="BH100" i="12"/>
  <c r="BX100" i="12"/>
  <c r="BH99" i="12"/>
  <c r="BX99" i="12"/>
  <c r="BH96" i="12"/>
  <c r="BX96" i="12"/>
  <c r="BH91" i="12"/>
  <c r="BH92" i="12"/>
  <c r="BH93" i="12"/>
  <c r="BH94" i="12"/>
  <c r="CC94" i="12"/>
  <c r="BH90" i="12"/>
  <c r="E136" i="1"/>
  <c r="J136" i="1"/>
  <c r="J57" i="1"/>
  <c r="E57" i="1"/>
  <c r="Q57" i="1"/>
  <c r="F279" i="1"/>
  <c r="G279" i="1"/>
  <c r="G271" i="1"/>
  <c r="H279" i="1"/>
  <c r="H271" i="1"/>
  <c r="I279" i="1"/>
  <c r="I271" i="1"/>
  <c r="K279" i="1"/>
  <c r="K271" i="1"/>
  <c r="L279" i="1"/>
  <c r="L271" i="1"/>
  <c r="M279" i="1"/>
  <c r="M271" i="1"/>
  <c r="N279" i="1"/>
  <c r="V279" i="1"/>
  <c r="O279" i="1"/>
  <c r="P279" i="1"/>
  <c r="F258" i="1"/>
  <c r="G258" i="1"/>
  <c r="H258" i="1"/>
  <c r="I258" i="1"/>
  <c r="L258" i="1"/>
  <c r="M258" i="1"/>
  <c r="P258" i="1"/>
  <c r="F260" i="1"/>
  <c r="F259" i="1"/>
  <c r="G260" i="1"/>
  <c r="G259" i="1"/>
  <c r="H260" i="1"/>
  <c r="H259" i="1"/>
  <c r="I260" i="1"/>
  <c r="I259" i="1"/>
  <c r="K260" i="1"/>
  <c r="L260" i="1"/>
  <c r="L259" i="1"/>
  <c r="M260" i="1"/>
  <c r="M259" i="1"/>
  <c r="P260" i="1"/>
  <c r="P259" i="1"/>
  <c r="G256" i="1"/>
  <c r="G250" i="1"/>
  <c r="H256" i="1"/>
  <c r="H250" i="1"/>
  <c r="I256" i="1"/>
  <c r="I250" i="1"/>
  <c r="K256" i="1"/>
  <c r="K250" i="1"/>
  <c r="L256" i="1"/>
  <c r="L250" i="1"/>
  <c r="M256" i="1"/>
  <c r="M250" i="1"/>
  <c r="N256" i="1"/>
  <c r="O256" i="1"/>
  <c r="O250" i="1"/>
  <c r="P256" i="1"/>
  <c r="P250" i="1"/>
  <c r="T250" i="1"/>
  <c r="G242" i="1"/>
  <c r="G240" i="1"/>
  <c r="H242" i="1"/>
  <c r="I242" i="1"/>
  <c r="K242" i="1"/>
  <c r="K240" i="1"/>
  <c r="L242" i="1"/>
  <c r="L240" i="1"/>
  <c r="M242" i="1"/>
  <c r="N242" i="1"/>
  <c r="O242" i="1"/>
  <c r="T242" i="1"/>
  <c r="P242" i="1"/>
  <c r="J243" i="1"/>
  <c r="J242" i="1"/>
  <c r="J245" i="1"/>
  <c r="J244" i="1"/>
  <c r="Q244" i="1"/>
  <c r="E227" i="1"/>
  <c r="F225" i="1"/>
  <c r="G225" i="1"/>
  <c r="H225" i="1"/>
  <c r="O225" i="1"/>
  <c r="P225" i="1"/>
  <c r="J218" i="1"/>
  <c r="E218" i="1"/>
  <c r="R218" i="1"/>
  <c r="F158" i="1"/>
  <c r="H158" i="1"/>
  <c r="I158" i="1"/>
  <c r="K158" i="1"/>
  <c r="L158" i="1"/>
  <c r="M158" i="1"/>
  <c r="P158" i="1"/>
  <c r="F106" i="1"/>
  <c r="G106" i="1"/>
  <c r="H106" i="1"/>
  <c r="I106" i="1"/>
  <c r="E106" i="1"/>
  <c r="R106" i="1"/>
  <c r="G109" i="1"/>
  <c r="H109" i="1"/>
  <c r="I109" i="1"/>
  <c r="K109" i="1"/>
  <c r="L109" i="1"/>
  <c r="M109" i="1"/>
  <c r="N109" i="1"/>
  <c r="O109" i="1"/>
  <c r="T109" i="1"/>
  <c r="P109" i="1"/>
  <c r="F100" i="1"/>
  <c r="G100" i="1"/>
  <c r="H100" i="1"/>
  <c r="H83" i="1"/>
  <c r="I100" i="1"/>
  <c r="K100" i="1"/>
  <c r="L100" i="1"/>
  <c r="M100" i="1"/>
  <c r="N100" i="1"/>
  <c r="O100" i="1"/>
  <c r="P100" i="1"/>
  <c r="J99" i="1"/>
  <c r="Q99" i="1"/>
  <c r="E99" i="1"/>
  <c r="E92" i="1"/>
  <c r="G72" i="1"/>
  <c r="H72" i="1"/>
  <c r="I72" i="1"/>
  <c r="K72" i="1"/>
  <c r="L72" i="1"/>
  <c r="M72" i="1"/>
  <c r="N72" i="1"/>
  <c r="F43" i="1"/>
  <c r="G43" i="1"/>
  <c r="H43" i="1"/>
  <c r="H33" i="1"/>
  <c r="I43" i="1"/>
  <c r="K43" i="1"/>
  <c r="L43" i="1"/>
  <c r="M43" i="1"/>
  <c r="M33" i="1"/>
  <c r="P43" i="1"/>
  <c r="G27" i="1"/>
  <c r="H27" i="1"/>
  <c r="I27" i="1"/>
  <c r="K27" i="1"/>
  <c r="L27" i="1"/>
  <c r="M27" i="1"/>
  <c r="G28" i="1"/>
  <c r="H28" i="1"/>
  <c r="I28" i="1"/>
  <c r="K28" i="1"/>
  <c r="L28" i="1"/>
  <c r="M28" i="1"/>
  <c r="J30" i="1"/>
  <c r="E30" i="1"/>
  <c r="R30" i="1"/>
  <c r="J284" i="1"/>
  <c r="AY126" i="12"/>
  <c r="J105" i="1"/>
  <c r="D1891" i="29"/>
  <c r="E1891" i="29"/>
  <c r="C1891" i="29"/>
  <c r="D1861" i="29"/>
  <c r="E1861" i="29"/>
  <c r="E123" i="1"/>
  <c r="J123" i="1"/>
  <c r="E280" i="1"/>
  <c r="D1838" i="29"/>
  <c r="E1838" i="29"/>
  <c r="C1838" i="29"/>
  <c r="D1898" i="29"/>
  <c r="D1901" i="29"/>
  <c r="E1898" i="29"/>
  <c r="E1901" i="29"/>
  <c r="C1898" i="29"/>
  <c r="J193" i="1"/>
  <c r="D68" i="27"/>
  <c r="D67" i="27"/>
  <c r="J200" i="1"/>
  <c r="BN16" i="12"/>
  <c r="BH16" i="12"/>
  <c r="BO117" i="12"/>
  <c r="BH117" i="12"/>
  <c r="BS63" i="12"/>
  <c r="BT63" i="12"/>
  <c r="BS29" i="12"/>
  <c r="N247" i="1"/>
  <c r="F1891" i="29"/>
  <c r="G1891" i="29"/>
  <c r="F1896" i="29"/>
  <c r="G1896" i="29"/>
  <c r="G1885" i="29"/>
  <c r="F1885" i="29"/>
  <c r="E1885" i="29"/>
  <c r="D1885" i="29"/>
  <c r="C1885" i="29"/>
  <c r="E276" i="1"/>
  <c r="E24" i="1"/>
  <c r="R24" i="1"/>
  <c r="E20" i="1"/>
  <c r="R20" i="1"/>
  <c r="J18" i="1"/>
  <c r="J17" i="1"/>
  <c r="J24" i="1"/>
  <c r="J16" i="1"/>
  <c r="J20" i="1"/>
  <c r="Q20" i="1"/>
  <c r="E29" i="1"/>
  <c r="Q29" i="1"/>
  <c r="J29" i="1"/>
  <c r="E34" i="1"/>
  <c r="R34" i="1"/>
  <c r="E35" i="1"/>
  <c r="R35" i="1"/>
  <c r="E37" i="1"/>
  <c r="E38" i="1"/>
  <c r="E40" i="1"/>
  <c r="E41" i="1"/>
  <c r="E42" i="1"/>
  <c r="R42" i="1"/>
  <c r="E44" i="1"/>
  <c r="E45" i="1"/>
  <c r="E47" i="1"/>
  <c r="E46" i="1"/>
  <c r="E39" i="1"/>
  <c r="R39" i="1"/>
  <c r="J34" i="1"/>
  <c r="J35" i="1"/>
  <c r="J37" i="1"/>
  <c r="J41" i="1"/>
  <c r="J42" i="1"/>
  <c r="J44" i="1"/>
  <c r="J43" i="1"/>
  <c r="E151" i="1"/>
  <c r="R151" i="1"/>
  <c r="E157" i="1"/>
  <c r="E162" i="1"/>
  <c r="E165" i="1"/>
  <c r="R165" i="1"/>
  <c r="E166" i="1"/>
  <c r="R166" i="1"/>
  <c r="E163" i="1"/>
  <c r="R163" i="1"/>
  <c r="E168" i="1"/>
  <c r="E177" i="1"/>
  <c r="R177" i="1"/>
  <c r="E169" i="1"/>
  <c r="E174" i="1"/>
  <c r="R174" i="1"/>
  <c r="E179" i="1"/>
  <c r="E176" i="1"/>
  <c r="E172" i="1"/>
  <c r="R172" i="1"/>
  <c r="E173" i="1"/>
  <c r="J151" i="1"/>
  <c r="J155" i="1"/>
  <c r="J152" i="1"/>
  <c r="J153" i="1"/>
  <c r="J157" i="1"/>
  <c r="J162" i="1"/>
  <c r="J165" i="1"/>
  <c r="J166" i="1"/>
  <c r="J163" i="1"/>
  <c r="J177" i="1"/>
  <c r="J169" i="1"/>
  <c r="J174" i="1"/>
  <c r="J149" i="1"/>
  <c r="J176" i="1"/>
  <c r="J175" i="1"/>
  <c r="J172" i="1"/>
  <c r="J171" i="1"/>
  <c r="J173" i="1"/>
  <c r="E56" i="1"/>
  <c r="R56" i="1"/>
  <c r="E58" i="1"/>
  <c r="R58" i="1"/>
  <c r="E60" i="1"/>
  <c r="R60" i="1"/>
  <c r="E62" i="1"/>
  <c r="R62" i="1"/>
  <c r="E63" i="1"/>
  <c r="E64" i="1"/>
  <c r="R64" i="1"/>
  <c r="E67" i="1"/>
  <c r="E68" i="1"/>
  <c r="R68" i="1"/>
  <c r="E73" i="1"/>
  <c r="E70" i="1"/>
  <c r="E71" i="1"/>
  <c r="R71" i="1"/>
  <c r="E61" i="1"/>
  <c r="E79" i="1"/>
  <c r="J58" i="1"/>
  <c r="J62" i="1"/>
  <c r="J63" i="1"/>
  <c r="Q63" i="1"/>
  <c r="J64" i="1"/>
  <c r="J66" i="1"/>
  <c r="J68" i="1"/>
  <c r="J73" i="1"/>
  <c r="R73" i="1"/>
  <c r="J70" i="1"/>
  <c r="J71" i="1"/>
  <c r="J61" i="1"/>
  <c r="Q61" i="1"/>
  <c r="J78" i="1"/>
  <c r="J79" i="1"/>
  <c r="J80" i="1"/>
  <c r="J81" i="1"/>
  <c r="E89" i="1"/>
  <c r="R89" i="1"/>
  <c r="E105" i="1"/>
  <c r="E101" i="1"/>
  <c r="E102" i="1"/>
  <c r="R102" i="1"/>
  <c r="E87" i="1"/>
  <c r="J101" i="1"/>
  <c r="J102" i="1"/>
  <c r="J87" i="1"/>
  <c r="Q87" i="1"/>
  <c r="J92" i="1"/>
  <c r="J115" i="1"/>
  <c r="E121" i="1"/>
  <c r="E125" i="1"/>
  <c r="E117" i="1"/>
  <c r="J120" i="1"/>
  <c r="J121" i="1"/>
  <c r="J125" i="1"/>
  <c r="E129" i="1"/>
  <c r="R129" i="1"/>
  <c r="E131" i="1"/>
  <c r="R131" i="1"/>
  <c r="E133" i="1"/>
  <c r="E134" i="1"/>
  <c r="Q134" i="1"/>
  <c r="E130" i="1"/>
  <c r="E140" i="1"/>
  <c r="R140" i="1"/>
  <c r="E139" i="1"/>
  <c r="R139" i="1"/>
  <c r="E138" i="1"/>
  <c r="R138" i="1"/>
  <c r="J132" i="1"/>
  <c r="J130" i="1"/>
  <c r="J140" i="1"/>
  <c r="E214" i="1"/>
  <c r="E190" i="1"/>
  <c r="E191" i="1"/>
  <c r="R191" i="1"/>
  <c r="E188" i="1"/>
  <c r="E203" i="1"/>
  <c r="E198" i="1"/>
  <c r="R198" i="1"/>
  <c r="E199" i="1"/>
  <c r="E200" i="1"/>
  <c r="R200" i="1"/>
  <c r="E186" i="1"/>
  <c r="R186" i="1"/>
  <c r="E213" i="1"/>
  <c r="R213" i="1"/>
  <c r="S213" i="1"/>
  <c r="E209" i="1"/>
  <c r="E208" i="1"/>
  <c r="E202" i="1"/>
  <c r="E189" i="1"/>
  <c r="R189" i="1"/>
  <c r="S189" i="1"/>
  <c r="E226" i="1"/>
  <c r="E229" i="1"/>
  <c r="R229" i="1"/>
  <c r="E228" i="1"/>
  <c r="J189" i="1"/>
  <c r="E232" i="1"/>
  <c r="J248" i="1"/>
  <c r="R248" i="1"/>
  <c r="E263" i="1"/>
  <c r="E261" i="1"/>
  <c r="E258" i="1"/>
  <c r="E262" i="1"/>
  <c r="J265" i="1"/>
  <c r="E257" i="1"/>
  <c r="R257" i="1"/>
  <c r="S257" i="1"/>
  <c r="E256" i="1"/>
  <c r="R256" i="1"/>
  <c r="J255" i="1"/>
  <c r="J257" i="1"/>
  <c r="E274" i="1"/>
  <c r="E278" i="1"/>
  <c r="R278" i="1"/>
  <c r="E277" i="1"/>
  <c r="R277" i="1"/>
  <c r="E284" i="1"/>
  <c r="R284" i="1"/>
  <c r="E283" i="1"/>
  <c r="E282" i="1"/>
  <c r="J274" i="1"/>
  <c r="J278" i="1"/>
  <c r="J276" i="1"/>
  <c r="J277" i="1"/>
  <c r="J281" i="1"/>
  <c r="R281" i="1"/>
  <c r="J285" i="1"/>
  <c r="J283" i="1"/>
  <c r="J282" i="1"/>
  <c r="Q282" i="1"/>
  <c r="J280" i="1"/>
  <c r="J279" i="1"/>
  <c r="C12" i="20"/>
  <c r="D96" i="29"/>
  <c r="E125" i="29"/>
  <c r="D125" i="29"/>
  <c r="C125" i="29"/>
  <c r="E158" i="29"/>
  <c r="D158" i="29"/>
  <c r="C158" i="29"/>
  <c r="E201" i="29"/>
  <c r="D201" i="29"/>
  <c r="C201" i="29"/>
  <c r="E244" i="29"/>
  <c r="D244" i="29"/>
  <c r="E297" i="29"/>
  <c r="D297" i="29"/>
  <c r="D372" i="29"/>
  <c r="E413" i="29"/>
  <c r="D413" i="29"/>
  <c r="C413" i="29"/>
  <c r="E446" i="29"/>
  <c r="D446" i="29"/>
  <c r="C446" i="29"/>
  <c r="D496" i="29"/>
  <c r="D535" i="29"/>
  <c r="C535" i="29"/>
  <c r="E627" i="29"/>
  <c r="D627" i="29"/>
  <c r="E659" i="29"/>
  <c r="D659" i="29"/>
  <c r="E703" i="29"/>
  <c r="D703" i="29"/>
  <c r="C703" i="29"/>
  <c r="I703" i="29"/>
  <c r="E748" i="29"/>
  <c r="D748" i="29"/>
  <c r="D943" i="29"/>
  <c r="E1022" i="29"/>
  <c r="D1022" i="29"/>
  <c r="C1022" i="29"/>
  <c r="D1051" i="29"/>
  <c r="E1136" i="29"/>
  <c r="D1136" i="29"/>
  <c r="C1136" i="29"/>
  <c r="E1215" i="29"/>
  <c r="D1215" i="29"/>
  <c r="C1215" i="29"/>
  <c r="D1265" i="29"/>
  <c r="E1292" i="29"/>
  <c r="D1292" i="29"/>
  <c r="H1292" i="29"/>
  <c r="E1341" i="29"/>
  <c r="H1341" i="29"/>
  <c r="D1341" i="29"/>
  <c r="E1366" i="29"/>
  <c r="C1366" i="29"/>
  <c r="E1413" i="29"/>
  <c r="E1461" i="29"/>
  <c r="D1461" i="29"/>
  <c r="C1461" i="29"/>
  <c r="E1509" i="29"/>
  <c r="H1509" i="29"/>
  <c r="D1509" i="29"/>
  <c r="C1509" i="29"/>
  <c r="E1557" i="29"/>
  <c r="D1557" i="29"/>
  <c r="C1557" i="29"/>
  <c r="E1605" i="29"/>
  <c r="D1605" i="29"/>
  <c r="D1653" i="29"/>
  <c r="D1701" i="29"/>
  <c r="E1749" i="29"/>
  <c r="D1749" i="29"/>
  <c r="E1797" i="29"/>
  <c r="D1797" i="29"/>
  <c r="E1842" i="29"/>
  <c r="D1842" i="29"/>
  <c r="H1842" i="29"/>
  <c r="E1870" i="29"/>
  <c r="D1870" i="29"/>
  <c r="C1870" i="29"/>
  <c r="E1872" i="29"/>
  <c r="D1872" i="29"/>
  <c r="C1872" i="29"/>
  <c r="E1874" i="29"/>
  <c r="D1874" i="29"/>
  <c r="C1874" i="29"/>
  <c r="E1881" i="29"/>
  <c r="D1881" i="29"/>
  <c r="C1881" i="29"/>
  <c r="E1883" i="29"/>
  <c r="D1883" i="29"/>
  <c r="C1883" i="29"/>
  <c r="F171" i="1"/>
  <c r="C128" i="27"/>
  <c r="G128" i="27"/>
  <c r="C47" i="27"/>
  <c r="G47" i="27"/>
  <c r="O122" i="1"/>
  <c r="P122" i="1"/>
  <c r="O175" i="1"/>
  <c r="P175" i="1"/>
  <c r="N175" i="1"/>
  <c r="O171" i="1"/>
  <c r="P171" i="1"/>
  <c r="O164" i="1"/>
  <c r="T164" i="1"/>
  <c r="P164" i="1"/>
  <c r="K197" i="1"/>
  <c r="K201" i="1"/>
  <c r="L197" i="1"/>
  <c r="L201" i="1"/>
  <c r="E46" i="27"/>
  <c r="C45" i="27"/>
  <c r="N229" i="1"/>
  <c r="V229" i="1"/>
  <c r="C115" i="27"/>
  <c r="G115" i="27"/>
  <c r="I8" i="29"/>
  <c r="BS64" i="12"/>
  <c r="BT64" i="12"/>
  <c r="G88" i="1"/>
  <c r="H88" i="1"/>
  <c r="I88" i="1"/>
  <c r="K88" i="1"/>
  <c r="L88" i="1"/>
  <c r="M88" i="1"/>
  <c r="N23" i="1"/>
  <c r="N148" i="1"/>
  <c r="N150" i="1"/>
  <c r="N161" i="1"/>
  <c r="N171" i="1"/>
  <c r="N164" i="1"/>
  <c r="N69" i="1"/>
  <c r="O69" i="1"/>
  <c r="N119" i="1"/>
  <c r="N122" i="1"/>
  <c r="V122" i="1"/>
  <c r="O23" i="1"/>
  <c r="O150" i="1"/>
  <c r="V150" i="1"/>
  <c r="O161" i="1"/>
  <c r="O119" i="1"/>
  <c r="V119" i="1"/>
  <c r="P197" i="1"/>
  <c r="O201" i="1"/>
  <c r="V201" i="1"/>
  <c r="P201" i="1"/>
  <c r="P23" i="1"/>
  <c r="P148" i="1"/>
  <c r="P150" i="1"/>
  <c r="P161" i="1"/>
  <c r="T161" i="1"/>
  <c r="P69" i="1"/>
  <c r="P119" i="1"/>
  <c r="P247" i="1"/>
  <c r="P246" i="1"/>
  <c r="N262" i="1"/>
  <c r="J262" i="1"/>
  <c r="Q262" i="1"/>
  <c r="F119" i="1"/>
  <c r="F197" i="1"/>
  <c r="F201" i="1"/>
  <c r="G197" i="1"/>
  <c r="G201" i="1"/>
  <c r="H197" i="1"/>
  <c r="H201" i="1"/>
  <c r="I197" i="1"/>
  <c r="I201" i="1"/>
  <c r="M197" i="1"/>
  <c r="M201" i="1"/>
  <c r="BS59" i="12"/>
  <c r="BT59" i="12"/>
  <c r="BS35" i="12"/>
  <c r="BT35" i="12"/>
  <c r="BS100" i="12"/>
  <c r="BT100" i="12"/>
  <c r="BS101" i="12"/>
  <c r="BT101" i="12"/>
  <c r="BS102" i="12"/>
  <c r="BS103" i="12"/>
  <c r="BT103" i="12"/>
  <c r="BS104" i="12"/>
  <c r="BT104" i="12"/>
  <c r="BS105" i="12"/>
  <c r="BT105" i="12"/>
  <c r="BS106" i="12"/>
  <c r="BT106" i="12"/>
  <c r="BS107" i="12"/>
  <c r="BS108" i="12"/>
  <c r="BT108" i="12"/>
  <c r="BS109" i="12"/>
  <c r="BT109" i="12"/>
  <c r="BS110" i="12"/>
  <c r="BT110" i="12"/>
  <c r="BS111" i="12"/>
  <c r="BT111" i="12"/>
  <c r="BS112" i="12"/>
  <c r="BS113" i="12"/>
  <c r="BT113" i="12"/>
  <c r="F23" i="1"/>
  <c r="G23" i="1"/>
  <c r="H23" i="1"/>
  <c r="H13" i="1"/>
  <c r="I23" i="1"/>
  <c r="K23" i="1"/>
  <c r="L23" i="1"/>
  <c r="M23" i="1"/>
  <c r="M13" i="1"/>
  <c r="D41" i="27"/>
  <c r="E41" i="27"/>
  <c r="C41" i="27"/>
  <c r="G41" i="27"/>
  <c r="F46" i="27"/>
  <c r="D46" i="27"/>
  <c r="D40" i="27"/>
  <c r="D11" i="27"/>
  <c r="C11" i="27"/>
  <c r="G11" i="27"/>
  <c r="D106" i="27"/>
  <c r="C106" i="27"/>
  <c r="G106" i="27"/>
  <c r="D107" i="27"/>
  <c r="C107" i="27"/>
  <c r="G107" i="27"/>
  <c r="D109" i="27"/>
  <c r="C109" i="27"/>
  <c r="G109" i="27"/>
  <c r="D110" i="27"/>
  <c r="D111" i="27"/>
  <c r="C111" i="27"/>
  <c r="G111" i="27"/>
  <c r="D117" i="27"/>
  <c r="C117" i="27"/>
  <c r="D121" i="27"/>
  <c r="C121" i="27"/>
  <c r="C122" i="27"/>
  <c r="G122" i="27"/>
  <c r="D124" i="27"/>
  <c r="C124" i="27"/>
  <c r="G124" i="27"/>
  <c r="D87" i="27"/>
  <c r="E87" i="27"/>
  <c r="AQ91" i="12"/>
  <c r="BU91" i="12"/>
  <c r="CA91" i="12"/>
  <c r="AQ92" i="12"/>
  <c r="BU92" i="12"/>
  <c r="CA92" i="12"/>
  <c r="AQ93" i="12"/>
  <c r="BU93" i="12"/>
  <c r="CA93" i="12"/>
  <c r="AQ94" i="12"/>
  <c r="BR94" i="12"/>
  <c r="CA94" i="12"/>
  <c r="CA96" i="12"/>
  <c r="CA97" i="12"/>
  <c r="CA98" i="12"/>
  <c r="CA99" i="12"/>
  <c r="CA100" i="12"/>
  <c r="CA101" i="12"/>
  <c r="CA102" i="12"/>
  <c r="CA103" i="12"/>
  <c r="CA104" i="12"/>
  <c r="CA105" i="12"/>
  <c r="CA106" i="12"/>
  <c r="CA107" i="12"/>
  <c r="CA108" i="12"/>
  <c r="BV109" i="12"/>
  <c r="CA109" i="12"/>
  <c r="BV110" i="12"/>
  <c r="BW110" i="12"/>
  <c r="CA110" i="12"/>
  <c r="CA111" i="12"/>
  <c r="CA112" i="12"/>
  <c r="CA113" i="12"/>
  <c r="BZ114" i="12"/>
  <c r="CA115" i="12"/>
  <c r="CA116" i="12"/>
  <c r="H246" i="1"/>
  <c r="C108" i="27"/>
  <c r="G108" i="27"/>
  <c r="C123" i="27"/>
  <c r="G123" i="27"/>
  <c r="F46" i="1"/>
  <c r="F33" i="1"/>
  <c r="G46" i="1"/>
  <c r="H46" i="1"/>
  <c r="F69" i="1"/>
  <c r="G69" i="1"/>
  <c r="G54" i="1"/>
  <c r="H69" i="1"/>
  <c r="I69" i="1"/>
  <c r="I54" i="1"/>
  <c r="K69" i="1"/>
  <c r="K54" i="1"/>
  <c r="K55" i="1"/>
  <c r="L69" i="1"/>
  <c r="L54" i="1"/>
  <c r="L55" i="1"/>
  <c r="M69" i="1"/>
  <c r="F158" i="29"/>
  <c r="F496" i="29"/>
  <c r="F605" i="29"/>
  <c r="F627" i="29"/>
  <c r="F659" i="29"/>
  <c r="F703" i="29"/>
  <c r="F1136" i="29"/>
  <c r="F1215" i="29"/>
  <c r="F1366" i="29"/>
  <c r="F1413" i="29"/>
  <c r="F1509" i="29"/>
  <c r="F1557" i="29"/>
  <c r="F1653" i="29"/>
  <c r="F1605" i="29"/>
  <c r="F908" i="29"/>
  <c r="F943" i="29"/>
  <c r="F1088" i="29"/>
  <c r="F1701" i="29"/>
  <c r="F1749" i="29"/>
  <c r="F1797" i="29"/>
  <c r="F372" i="29"/>
  <c r="G158" i="29"/>
  <c r="G496" i="29"/>
  <c r="G605" i="29"/>
  <c r="G627" i="29"/>
  <c r="G659" i="29"/>
  <c r="G703" i="29"/>
  <c r="G1136" i="29"/>
  <c r="G1215" i="29"/>
  <c r="G1366" i="29"/>
  <c r="G1413" i="29"/>
  <c r="G1509" i="29"/>
  <c r="G1557" i="29"/>
  <c r="G1653" i="29"/>
  <c r="G1605" i="29"/>
  <c r="G908" i="29"/>
  <c r="G943" i="29"/>
  <c r="G1088" i="29"/>
  <c r="G1701" i="29"/>
  <c r="G1749" i="29"/>
  <c r="G1797" i="29"/>
  <c r="G372" i="29"/>
  <c r="G1861" i="29"/>
  <c r="F1861" i="29"/>
  <c r="G1853" i="29"/>
  <c r="F1853" i="29"/>
  <c r="C86" i="27"/>
  <c r="G86" i="27"/>
  <c r="C88" i="27"/>
  <c r="G88" i="27"/>
  <c r="C90" i="27"/>
  <c r="G90" i="27"/>
  <c r="C92" i="27"/>
  <c r="G92" i="27"/>
  <c r="C93" i="27"/>
  <c r="C96" i="27"/>
  <c r="G96" i="27"/>
  <c r="C97" i="27"/>
  <c r="C144" i="27"/>
  <c r="G144" i="27"/>
  <c r="C130" i="27"/>
  <c r="G130" i="27"/>
  <c r="C134" i="27"/>
  <c r="G134" i="27"/>
  <c r="F122" i="1"/>
  <c r="G119" i="1"/>
  <c r="G118" i="1"/>
  <c r="G122" i="1"/>
  <c r="H119" i="1"/>
  <c r="H122" i="1"/>
  <c r="H118" i="1"/>
  <c r="I119" i="1"/>
  <c r="I122" i="1"/>
  <c r="K119" i="1"/>
  <c r="K122" i="1"/>
  <c r="K118" i="1"/>
  <c r="L119" i="1"/>
  <c r="L118" i="1"/>
  <c r="L122" i="1"/>
  <c r="M119" i="1"/>
  <c r="M122" i="1"/>
  <c r="M118" i="1"/>
  <c r="G148" i="1"/>
  <c r="G161" i="1"/>
  <c r="G171" i="1"/>
  <c r="G164" i="1"/>
  <c r="G175" i="1"/>
  <c r="I167" i="1"/>
  <c r="K167" i="1"/>
  <c r="L167" i="1"/>
  <c r="M167" i="1"/>
  <c r="F148" i="1"/>
  <c r="F161" i="1"/>
  <c r="F164" i="1"/>
  <c r="F175" i="1"/>
  <c r="H148" i="1"/>
  <c r="H150" i="1"/>
  <c r="H161" i="1"/>
  <c r="H171" i="1"/>
  <c r="H164" i="1"/>
  <c r="H175" i="1"/>
  <c r="I148" i="1"/>
  <c r="I150" i="1"/>
  <c r="I161" i="1"/>
  <c r="I171" i="1"/>
  <c r="I164" i="1"/>
  <c r="I175" i="1"/>
  <c r="K148" i="1"/>
  <c r="K150" i="1"/>
  <c r="K161" i="1"/>
  <c r="K171" i="1"/>
  <c r="K164" i="1"/>
  <c r="K175" i="1"/>
  <c r="L148" i="1"/>
  <c r="L150" i="1"/>
  <c r="L161" i="1"/>
  <c r="L171" i="1"/>
  <c r="L164" i="1"/>
  <c r="L175" i="1"/>
  <c r="M148" i="1"/>
  <c r="M150" i="1"/>
  <c r="M161" i="1"/>
  <c r="M171" i="1"/>
  <c r="M164" i="1"/>
  <c r="M175" i="1"/>
  <c r="G247" i="1"/>
  <c r="H247" i="1"/>
  <c r="K247" i="1"/>
  <c r="L247" i="1"/>
  <c r="M247" i="1"/>
  <c r="D50" i="27"/>
  <c r="C50" i="27"/>
  <c r="G50" i="27"/>
  <c r="C116" i="27"/>
  <c r="G116" i="27"/>
  <c r="F87" i="27"/>
  <c r="C91" i="27"/>
  <c r="G91" i="27"/>
  <c r="C94" i="27"/>
  <c r="G94" i="27"/>
  <c r="C95" i="27"/>
  <c r="G95" i="27"/>
  <c r="C99" i="27"/>
  <c r="G99" i="27"/>
  <c r="C89" i="27"/>
  <c r="C98" i="27"/>
  <c r="G98" i="27"/>
  <c r="G246" i="1"/>
  <c r="K246" i="1"/>
  <c r="L246" i="1"/>
  <c r="M246" i="1"/>
  <c r="D63" i="27"/>
  <c r="C63" i="27"/>
  <c r="G63" i="27"/>
  <c r="D55" i="27"/>
  <c r="C125" i="27"/>
  <c r="C104" i="27"/>
  <c r="G104" i="27"/>
  <c r="C135" i="27"/>
  <c r="G135" i="27"/>
  <c r="C129" i="27"/>
  <c r="G1883" i="29"/>
  <c r="F1883" i="29"/>
  <c r="G1881" i="29"/>
  <c r="F1881" i="29"/>
  <c r="G1879" i="29"/>
  <c r="F1879" i="29"/>
  <c r="G1874" i="29"/>
  <c r="F1874" i="29"/>
  <c r="G1872" i="29"/>
  <c r="F1872" i="29"/>
  <c r="G1870" i="29"/>
  <c r="F1870" i="29"/>
  <c r="G1864" i="29"/>
  <c r="F1864" i="29"/>
  <c r="E26" i="20"/>
  <c r="G1461" i="29"/>
  <c r="F1461" i="29"/>
  <c r="F96" i="29"/>
  <c r="G96" i="29"/>
  <c r="F201" i="29"/>
  <c r="G201" i="29"/>
  <c r="F297" i="29"/>
  <c r="G297" i="29"/>
  <c r="F327" i="29"/>
  <c r="G327" i="29"/>
  <c r="F413" i="29"/>
  <c r="G413" i="29"/>
  <c r="F446" i="29"/>
  <c r="G446" i="29"/>
  <c r="F535" i="29"/>
  <c r="G535" i="29"/>
  <c r="F748" i="29"/>
  <c r="G748" i="29"/>
  <c r="F1022" i="29"/>
  <c r="G1022" i="29"/>
  <c r="F1051" i="29"/>
  <c r="G1051" i="29"/>
  <c r="F1265" i="29"/>
  <c r="G1265" i="29"/>
  <c r="F1292" i="29"/>
  <c r="G1292" i="29"/>
  <c r="F1341" i="29"/>
  <c r="G1341" i="29"/>
  <c r="C77" i="27"/>
  <c r="G77" i="27"/>
  <c r="C36" i="27"/>
  <c r="G36" i="27"/>
  <c r="D25" i="20"/>
  <c r="E55" i="27"/>
  <c r="C66" i="27"/>
  <c r="G66" i="27"/>
  <c r="D29" i="27"/>
  <c r="D31" i="27"/>
  <c r="D35" i="27"/>
  <c r="D28" i="27"/>
  <c r="D38" i="27"/>
  <c r="D18" i="27"/>
  <c r="D10" i="27"/>
  <c r="C10" i="27"/>
  <c r="G10" i="27"/>
  <c r="C39" i="27"/>
  <c r="G39" i="27"/>
  <c r="F35" i="27"/>
  <c r="F55" i="27"/>
  <c r="F54" i="27"/>
  <c r="F48" i="27"/>
  <c r="F49" i="27"/>
  <c r="F68" i="27"/>
  <c r="F67" i="27"/>
  <c r="F145" i="27"/>
  <c r="C102" i="27"/>
  <c r="G102" i="27"/>
  <c r="C105" i="27"/>
  <c r="C127" i="27"/>
  <c r="G127" i="27"/>
  <c r="E25" i="27"/>
  <c r="C25" i="27"/>
  <c r="G25" i="27"/>
  <c r="E35" i="27"/>
  <c r="E31" i="27"/>
  <c r="E29" i="27"/>
  <c r="E49" i="27"/>
  <c r="E68" i="27"/>
  <c r="E78" i="27"/>
  <c r="C78" i="27"/>
  <c r="G78" i="27"/>
  <c r="E146" i="27"/>
  <c r="E145" i="27"/>
  <c r="C145" i="27"/>
  <c r="G145" i="27"/>
  <c r="C146" i="27"/>
  <c r="G146" i="27"/>
  <c r="E81" i="27"/>
  <c r="C81" i="27"/>
  <c r="G81" i="27"/>
  <c r="F143" i="27"/>
  <c r="F24" i="27"/>
  <c r="F41" i="27"/>
  <c r="F40" i="27"/>
  <c r="F31" i="27"/>
  <c r="F29" i="27"/>
  <c r="F81" i="27"/>
  <c r="F80" i="27"/>
  <c r="E11" i="27"/>
  <c r="F11" i="27"/>
  <c r="C12" i="27"/>
  <c r="G12" i="27"/>
  <c r="C13" i="27"/>
  <c r="C14" i="27"/>
  <c r="G14" i="27"/>
  <c r="C15" i="27"/>
  <c r="G15" i="27"/>
  <c r="C16" i="27"/>
  <c r="G16" i="27"/>
  <c r="C17" i="27"/>
  <c r="C19" i="27"/>
  <c r="G19" i="27"/>
  <c r="C20" i="27"/>
  <c r="G20" i="27"/>
  <c r="C21" i="27"/>
  <c r="C22" i="27"/>
  <c r="G22" i="27"/>
  <c r="E18" i="27"/>
  <c r="F18" i="27"/>
  <c r="C26" i="27"/>
  <c r="G26" i="27"/>
  <c r="C27" i="27"/>
  <c r="G27" i="27"/>
  <c r="C30" i="27"/>
  <c r="G30" i="27"/>
  <c r="C32" i="27"/>
  <c r="G32" i="27"/>
  <c r="C33" i="27"/>
  <c r="C34" i="27"/>
  <c r="G34" i="27"/>
  <c r="C37" i="27"/>
  <c r="C42" i="27"/>
  <c r="G42" i="27"/>
  <c r="C43" i="27"/>
  <c r="G43" i="27"/>
  <c r="C44" i="27"/>
  <c r="G44" i="27"/>
  <c r="C51" i="27"/>
  <c r="G51" i="27"/>
  <c r="C52" i="27"/>
  <c r="G52" i="27"/>
  <c r="C53" i="27"/>
  <c r="C56" i="27"/>
  <c r="G56" i="27"/>
  <c r="C57" i="27"/>
  <c r="C58" i="27"/>
  <c r="G58" i="27"/>
  <c r="C59" i="27"/>
  <c r="G59" i="27"/>
  <c r="C60" i="27"/>
  <c r="G60" i="27"/>
  <c r="C61" i="27"/>
  <c r="C62" i="27"/>
  <c r="G62" i="27"/>
  <c r="C64" i="27"/>
  <c r="G64" i="27"/>
  <c r="C65" i="27"/>
  <c r="C69" i="27"/>
  <c r="C70" i="27"/>
  <c r="G70" i="27"/>
  <c r="C71" i="27"/>
  <c r="G71" i="27"/>
  <c r="C79" i="27"/>
  <c r="G79" i="27"/>
  <c r="C82" i="27"/>
  <c r="G82" i="27"/>
  <c r="C85" i="27"/>
  <c r="G85" i="27"/>
  <c r="D143" i="27"/>
  <c r="C147" i="27"/>
  <c r="G147" i="27"/>
  <c r="C148" i="27"/>
  <c r="G148" i="27"/>
  <c r="C149" i="27"/>
  <c r="G149" i="27"/>
  <c r="S291" i="1"/>
  <c r="D22" i="20"/>
  <c r="E22" i="20"/>
  <c r="E143" i="27"/>
  <c r="O167" i="1"/>
  <c r="T167" i="1"/>
  <c r="BS73" i="12"/>
  <c r="BS42" i="12"/>
  <c r="BT42" i="12"/>
  <c r="O88" i="1"/>
  <c r="T88" i="1"/>
  <c r="BV60" i="12"/>
  <c r="O247" i="1"/>
  <c r="O246" i="1"/>
  <c r="BV97" i="12"/>
  <c r="BW97" i="12"/>
  <c r="BV25" i="12"/>
  <c r="BW25" i="12"/>
  <c r="BS27" i="12"/>
  <c r="BT27" i="12"/>
  <c r="BS30" i="12"/>
  <c r="BT30" i="12"/>
  <c r="C372" i="29"/>
  <c r="BV28" i="12"/>
  <c r="BW28" i="12"/>
  <c r="D1366" i="29"/>
  <c r="E496" i="29"/>
  <c r="E81" i="1"/>
  <c r="R81" i="1"/>
  <c r="S81" i="1"/>
  <c r="E285" i="1"/>
  <c r="BV34" i="12"/>
  <c r="F26" i="20"/>
  <c r="C103" i="27"/>
  <c r="G103" i="27"/>
  <c r="BV65" i="12"/>
  <c r="BW65" i="12"/>
  <c r="E372" i="29"/>
  <c r="BS54" i="12"/>
  <c r="BT54" i="12"/>
  <c r="BV106" i="12"/>
  <c r="BW106" i="12"/>
  <c r="BS70" i="12"/>
  <c r="J268" i="1"/>
  <c r="E91" i="1"/>
  <c r="E80" i="1"/>
  <c r="J249" i="1"/>
  <c r="E132" i="1"/>
  <c r="R132" i="1"/>
  <c r="J226" i="1"/>
  <c r="J261" i="1"/>
  <c r="E120" i="1"/>
  <c r="R120" i="1"/>
  <c r="C1653" i="29"/>
  <c r="E605" i="29"/>
  <c r="C1701" i="29"/>
  <c r="E23" i="20"/>
  <c r="H8" i="29"/>
  <c r="D605" i="29"/>
  <c r="J89" i="1"/>
  <c r="N246" i="1"/>
  <c r="P167" i="1"/>
  <c r="E268" i="1"/>
  <c r="R268" i="1"/>
  <c r="S268" i="1"/>
  <c r="J232" i="1"/>
  <c r="J15" i="1"/>
  <c r="J107" i="1"/>
  <c r="R107" i="1"/>
  <c r="J204" i="1"/>
  <c r="E155" i="1"/>
  <c r="J67" i="1"/>
  <c r="J263" i="1"/>
  <c r="I246" i="1"/>
  <c r="F247" i="1"/>
  <c r="F246" i="1"/>
  <c r="E249" i="1"/>
  <c r="R249" i="1"/>
  <c r="I247" i="1"/>
  <c r="E224" i="1"/>
  <c r="R224" i="1"/>
  <c r="C659" i="29"/>
  <c r="C627" i="29"/>
  <c r="I627" i="29"/>
  <c r="E1653" i="29"/>
  <c r="E1701" i="29"/>
  <c r="BV111" i="12"/>
  <c r="BW111" i="12"/>
  <c r="L225" i="1"/>
  <c r="M225" i="1"/>
  <c r="K225" i="1"/>
  <c r="I225" i="1"/>
  <c r="BV19" i="12"/>
  <c r="BV49" i="12"/>
  <c r="BW49" i="12"/>
  <c r="BV105" i="12"/>
  <c r="BW105" i="12"/>
  <c r="CA19" i="12"/>
  <c r="CA18" i="12"/>
  <c r="BV101" i="12"/>
  <c r="BW101" i="12"/>
  <c r="BV112" i="12"/>
  <c r="BW112" i="12"/>
  <c r="H72" i="22"/>
  <c r="I72" i="22"/>
  <c r="J74" i="1"/>
  <c r="E2046" i="24"/>
  <c r="BO88" i="12"/>
  <c r="CA88" i="12"/>
  <c r="BO79" i="12"/>
  <c r="BV56" i="12"/>
  <c r="BW56" i="12"/>
  <c r="J39" i="1"/>
  <c r="CA73" i="12"/>
  <c r="BH48" i="12"/>
  <c r="CA48" i="12"/>
  <c r="CA84" i="12"/>
  <c r="E74" i="1"/>
  <c r="R74" i="1"/>
  <c r="E59" i="1"/>
  <c r="O72" i="1"/>
  <c r="V72" i="1"/>
  <c r="J129" i="1"/>
  <c r="J170" i="1"/>
  <c r="N167" i="1"/>
  <c r="J203" i="1"/>
  <c r="Q203" i="1"/>
  <c r="P311" i="1"/>
  <c r="N208" i="1"/>
  <c r="J209" i="1"/>
  <c r="J188" i="1"/>
  <c r="AQ27" i="12"/>
  <c r="CC110" i="12"/>
  <c r="CA82" i="12"/>
  <c r="BH82" i="12"/>
  <c r="CA31" i="12"/>
  <c r="BH80" i="12"/>
  <c r="CC80" i="12"/>
  <c r="CA77" i="12"/>
  <c r="CA68" i="12"/>
  <c r="G51" i="22"/>
  <c r="E25" i="20"/>
  <c r="C25" i="20"/>
  <c r="E14" i="20"/>
  <c r="E10" i="20"/>
  <c r="C13" i="20"/>
  <c r="C11" i="20"/>
  <c r="D11" i="20"/>
  <c r="D23" i="20"/>
  <c r="F21" i="20"/>
  <c r="F11" i="20"/>
  <c r="I15" i="20"/>
  <c r="C16" i="32"/>
  <c r="BH75" i="12"/>
  <c r="CA75" i="12"/>
  <c r="C15" i="20"/>
  <c r="J134" i="1"/>
  <c r="N43" i="1"/>
  <c r="E65" i="1"/>
  <c r="J38" i="1"/>
  <c r="I118" i="32"/>
  <c r="E1903" i="29"/>
  <c r="E73" i="27"/>
  <c r="H56" i="22"/>
  <c r="I56" i="22"/>
  <c r="H205" i="22"/>
  <c r="I205" i="22"/>
  <c r="G202" i="22"/>
  <c r="P88" i="1"/>
  <c r="J196" i="1"/>
  <c r="Q196" i="1"/>
  <c r="J26" i="1"/>
  <c r="J168" i="1"/>
  <c r="J167" i="1"/>
  <c r="F167" i="1"/>
  <c r="E170" i="1"/>
  <c r="R170" i="1"/>
  <c r="N27" i="1"/>
  <c r="BH54" i="12"/>
  <c r="BR93" i="12"/>
  <c r="BH20" i="12"/>
  <c r="CC20" i="12"/>
  <c r="BH87" i="12"/>
  <c r="AQ58" i="12"/>
  <c r="BH65" i="12"/>
  <c r="BH69" i="12"/>
  <c r="BH78" i="12"/>
  <c r="CA47" i="12"/>
  <c r="CC102" i="12"/>
  <c r="BH27" i="12"/>
  <c r="CC27" i="12"/>
  <c r="CA76" i="12"/>
  <c r="BH52" i="12"/>
  <c r="BX116" i="12"/>
  <c r="BW116" i="12"/>
  <c r="CC38" i="12"/>
  <c r="D95" i="12"/>
  <c r="CC46" i="12"/>
  <c r="CA46" i="12"/>
  <c r="CA25" i="12"/>
  <c r="CA117" i="12"/>
  <c r="CA38" i="12"/>
  <c r="BH60" i="12"/>
  <c r="AD21" i="12"/>
  <c r="CA63" i="12"/>
  <c r="BH85" i="12"/>
  <c r="BX94" i="12"/>
  <c r="CA49" i="12"/>
  <c r="BH49" i="12"/>
  <c r="CA67" i="12"/>
  <c r="BH81" i="12"/>
  <c r="CC77" i="12"/>
  <c r="CA74" i="12"/>
  <c r="BH74" i="12"/>
  <c r="CA35" i="12"/>
  <c r="CA16" i="12"/>
  <c r="AI95" i="12"/>
  <c r="CA37" i="12"/>
  <c r="E48" i="35"/>
  <c r="E35" i="32"/>
  <c r="BJ21" i="12"/>
  <c r="E1811" i="29"/>
  <c r="E1051" i="29"/>
  <c r="C1265" i="29"/>
  <c r="C1088" i="29"/>
  <c r="F28" i="1"/>
  <c r="F27" i="1"/>
  <c r="J186" i="1"/>
  <c r="BV100" i="12"/>
  <c r="BW100" i="12"/>
  <c r="BN21" i="12"/>
  <c r="CC73" i="12"/>
  <c r="N32" i="1"/>
  <c r="E40" i="27"/>
  <c r="E24" i="27"/>
  <c r="CC70" i="12"/>
  <c r="D21" i="20"/>
  <c r="C22" i="20"/>
  <c r="BV104" i="12"/>
  <c r="BS116" i="12"/>
  <c r="BT116" i="12"/>
  <c r="BU94" i="12"/>
  <c r="CC54" i="12"/>
  <c r="CA28" i="12"/>
  <c r="AS21" i="12"/>
  <c r="BH44" i="12"/>
  <c r="CA44" i="12"/>
  <c r="BH83" i="12"/>
  <c r="CA83" i="12"/>
  <c r="AQ29" i="12"/>
  <c r="BH39" i="12"/>
  <c r="BH22" i="12"/>
  <c r="BH29" i="12"/>
  <c r="BH34" i="12"/>
  <c r="BH84" i="12"/>
  <c r="BH30" i="12"/>
  <c r="BH42" i="12"/>
  <c r="BX70" i="12"/>
  <c r="H282" i="22"/>
  <c r="I282" i="22"/>
  <c r="AR95" i="12"/>
  <c r="AR114" i="12"/>
  <c r="AR118" i="12"/>
  <c r="AR123" i="12"/>
  <c r="AR45" i="12"/>
  <c r="AQ17" i="12"/>
  <c r="K47" i="22"/>
  <c r="K141" i="22"/>
  <c r="H230" i="22"/>
  <c r="I230" i="22"/>
  <c r="F228" i="22"/>
  <c r="K130" i="22"/>
  <c r="G25" i="22"/>
  <c r="K208" i="22"/>
  <c r="BO62" i="12"/>
  <c r="CA62" i="12"/>
  <c r="BH32" i="12"/>
  <c r="CA32" i="12"/>
  <c r="BQ45" i="12"/>
  <c r="L45" i="12"/>
  <c r="L21" i="12"/>
  <c r="H45" i="12"/>
  <c r="H21" i="12"/>
  <c r="BH61" i="12"/>
  <c r="C2046" i="24"/>
  <c r="I2046" i="24"/>
  <c r="CC61" i="12"/>
  <c r="CC65" i="12"/>
  <c r="BV99" i="12"/>
  <c r="BW99" i="12"/>
  <c r="BV108" i="12"/>
  <c r="BW108" i="12"/>
  <c r="J227" i="1"/>
  <c r="CA71" i="12"/>
  <c r="J15" i="20"/>
  <c r="I112" i="1"/>
  <c r="E48" i="37"/>
  <c r="AQ66" i="12"/>
  <c r="E11" i="20"/>
  <c r="P106" i="1"/>
  <c r="P83" i="1"/>
  <c r="J52" i="1"/>
  <c r="BH88" i="12"/>
  <c r="C216" i="27"/>
  <c r="C218" i="27"/>
  <c r="BH64" i="12"/>
  <c r="CC64" i="12"/>
  <c r="AR21" i="12"/>
  <c r="BV103" i="12"/>
  <c r="BW103" i="12"/>
  <c r="C38" i="27"/>
  <c r="G38" i="27"/>
  <c r="CC106" i="12"/>
  <c r="BR113" i="12"/>
  <c r="BU113" i="12"/>
  <c r="BR106" i="12"/>
  <c r="BU106" i="12"/>
  <c r="CC99" i="12"/>
  <c r="CC108" i="12"/>
  <c r="CC113" i="12"/>
  <c r="CC112" i="12"/>
  <c r="BR108" i="12"/>
  <c r="BU108" i="12"/>
  <c r="BU35" i="12"/>
  <c r="BX92" i="12"/>
  <c r="BR105" i="12"/>
  <c r="BU105" i="12"/>
  <c r="CC105" i="12"/>
  <c r="CC100" i="12"/>
  <c r="BR100" i="12"/>
  <c r="BU100" i="12"/>
  <c r="CC90" i="12"/>
  <c r="BX93" i="12"/>
  <c r="CC93" i="12"/>
  <c r="CC96" i="12"/>
  <c r="BR111" i="12"/>
  <c r="BU111" i="12"/>
  <c r="CC104" i="12"/>
  <c r="BR112" i="12"/>
  <c r="BU112" i="12"/>
  <c r="BR104" i="12"/>
  <c r="BU104" i="12"/>
  <c r="BR109" i="12"/>
  <c r="BU109" i="12"/>
  <c r="CC117" i="12"/>
  <c r="CC109" i="12"/>
  <c r="BR101" i="12"/>
  <c r="BU101" i="12"/>
  <c r="BX115" i="12"/>
  <c r="CC101" i="12"/>
  <c r="CC98" i="12"/>
  <c r="G386" i="22"/>
  <c r="G387" i="22"/>
  <c r="I25" i="37"/>
  <c r="C142" i="27"/>
  <c r="G142" i="27"/>
  <c r="E2007" i="29"/>
  <c r="E2003" i="29"/>
  <c r="BV98" i="12"/>
  <c r="BW98" i="12"/>
  <c r="BV48" i="12"/>
  <c r="BW48" i="12"/>
  <c r="AA41" i="12"/>
  <c r="H29" i="37"/>
  <c r="C110" i="27"/>
  <c r="G110" i="27"/>
  <c r="E80" i="27"/>
  <c r="C80" i="27"/>
  <c r="G80" i="27"/>
  <c r="BV113" i="12"/>
  <c r="BW113" i="12"/>
  <c r="C24" i="27"/>
  <c r="G24" i="27"/>
  <c r="BS50" i="12"/>
  <c r="BT50" i="12"/>
  <c r="BH62" i="12"/>
  <c r="BV102" i="12"/>
  <c r="BW102" i="12"/>
  <c r="BR107" i="12"/>
  <c r="BU107" i="12"/>
  <c r="BX103" i="12"/>
  <c r="CC103" i="12"/>
  <c r="BR110" i="12"/>
  <c r="BU110" i="12"/>
  <c r="BR99" i="12"/>
  <c r="BU99" i="12"/>
  <c r="BR103" i="12"/>
  <c r="BU103" i="12"/>
  <c r="BL114" i="12"/>
  <c r="BL118" i="12"/>
  <c r="BL125" i="12"/>
  <c r="I25" i="35"/>
  <c r="E1896" i="29"/>
  <c r="E85" i="1"/>
  <c r="R85" i="1"/>
  <c r="C11" i="34"/>
  <c r="I11" i="34"/>
  <c r="AQ32" i="12"/>
  <c r="C20" i="37"/>
  <c r="AB45" i="12"/>
  <c r="I270" i="1"/>
  <c r="BU57" i="12"/>
  <c r="CC28" i="12"/>
  <c r="BR28" i="12"/>
  <c r="BG114" i="12"/>
  <c r="BG118" i="12"/>
  <c r="E288" i="1"/>
  <c r="D45" i="12"/>
  <c r="CC107" i="12"/>
  <c r="BR102" i="12"/>
  <c r="BU102" i="12"/>
  <c r="J211" i="1"/>
  <c r="H29" i="35"/>
  <c r="I21" i="35"/>
  <c r="P82" i="1"/>
  <c r="T82" i="1"/>
  <c r="H83" i="22"/>
  <c r="K128" i="22"/>
  <c r="H256" i="22"/>
  <c r="K256" i="22"/>
  <c r="G260" i="22"/>
  <c r="K156" i="22"/>
  <c r="K148" i="22"/>
  <c r="F80" i="22"/>
  <c r="H196" i="22"/>
  <c r="H30" i="22"/>
  <c r="K30" i="22"/>
  <c r="K113" i="22"/>
  <c r="K153" i="22"/>
  <c r="F24" i="22"/>
  <c r="K224" i="22"/>
  <c r="G248" i="22"/>
  <c r="F260" i="22"/>
  <c r="F25" i="22"/>
  <c r="I25" i="22"/>
  <c r="G119" i="22"/>
  <c r="K253" i="22"/>
  <c r="K280" i="22"/>
  <c r="G222" i="22"/>
  <c r="G220" i="22"/>
  <c r="G214" i="22"/>
  <c r="G219" i="22"/>
  <c r="G261" i="22"/>
  <c r="K27" i="22"/>
  <c r="K276" i="22"/>
  <c r="H146" i="22"/>
  <c r="K46" i="22"/>
  <c r="H29" i="22"/>
  <c r="H277" i="22"/>
  <c r="I277" i="22"/>
  <c r="H21" i="22"/>
  <c r="I21" i="22"/>
  <c r="K223" i="22"/>
  <c r="H246" i="22"/>
  <c r="H171" i="22"/>
  <c r="K171" i="22"/>
  <c r="K147" i="22"/>
  <c r="K206" i="22"/>
  <c r="H14" i="22"/>
  <c r="D54" i="27"/>
  <c r="D48" i="27"/>
  <c r="D49" i="27"/>
  <c r="O219" i="1"/>
  <c r="C26" i="20"/>
  <c r="H15" i="20"/>
  <c r="D14" i="20"/>
  <c r="D10" i="20"/>
  <c r="C16" i="20"/>
  <c r="I16" i="35"/>
  <c r="H25" i="35"/>
  <c r="I29" i="35"/>
  <c r="H31" i="35"/>
  <c r="I11" i="35"/>
  <c r="H27" i="35"/>
  <c r="H23" i="35"/>
  <c r="H21" i="35"/>
  <c r="D38" i="34"/>
  <c r="I26" i="34"/>
  <c r="E30" i="34"/>
  <c r="CC62" i="12"/>
  <c r="CC79" i="12"/>
  <c r="BO50" i="12"/>
  <c r="CA50" i="12"/>
  <c r="CA72" i="12"/>
  <c r="BH72" i="12"/>
  <c r="BR98" i="12"/>
  <c r="BU98" i="12"/>
  <c r="BR77" i="12"/>
  <c r="BR61" i="12"/>
  <c r="H16" i="35"/>
  <c r="BR38" i="12"/>
  <c r="BR97" i="12"/>
  <c r="BU97" i="12"/>
  <c r="BR92" i="12"/>
  <c r="BR76" i="12"/>
  <c r="BR68" i="12"/>
  <c r="BR64" i="12"/>
  <c r="H9" i="35"/>
  <c r="H11" i="35"/>
  <c r="BR46" i="12"/>
  <c r="M95" i="12"/>
  <c r="BR96" i="12"/>
  <c r="BR91" i="12"/>
  <c r="BR116" i="12"/>
  <c r="BR90" i="12"/>
  <c r="BR62" i="12"/>
  <c r="BR54" i="12"/>
  <c r="E44" i="34"/>
  <c r="E38" i="34"/>
  <c r="BH50" i="12"/>
  <c r="CC50" i="12"/>
  <c r="BU86" i="12"/>
  <c r="CC63" i="12"/>
  <c r="BR80" i="12"/>
  <c r="CC32" i="12"/>
  <c r="BR20" i="12"/>
  <c r="E21" i="1"/>
  <c r="E93" i="1"/>
  <c r="E255" i="1"/>
  <c r="R255" i="1"/>
  <c r="Q280" i="1"/>
  <c r="Q279" i="1"/>
  <c r="Q110" i="1"/>
  <c r="Q114" i="1"/>
  <c r="F240" i="1"/>
  <c r="BU26" i="12"/>
  <c r="E2817" i="24"/>
  <c r="BX76" i="12"/>
  <c r="C2132" i="24"/>
  <c r="E2538" i="24"/>
  <c r="H2538" i="24"/>
  <c r="C4000" i="24"/>
  <c r="BX37" i="12"/>
  <c r="C318" i="24"/>
  <c r="E2957" i="24"/>
  <c r="BU24" i="12"/>
  <c r="BU65" i="12"/>
  <c r="C1780" i="24"/>
  <c r="D2922" i="24"/>
  <c r="D3825" i="24"/>
  <c r="BU42" i="12"/>
  <c r="BY42" i="12"/>
  <c r="E1583" i="24"/>
  <c r="BX34" i="12"/>
  <c r="C3569" i="24"/>
  <c r="E1386" i="24"/>
  <c r="BU88" i="12"/>
  <c r="E998" i="24"/>
  <c r="D998" i="24"/>
  <c r="BU29" i="12"/>
  <c r="BY29" i="12"/>
  <c r="D2352" i="24"/>
  <c r="C3219" i="24"/>
  <c r="F11" i="22"/>
  <c r="H23" i="22"/>
  <c r="I23" i="22"/>
  <c r="G11" i="22"/>
  <c r="E27" i="20"/>
  <c r="E24" i="20"/>
  <c r="E20" i="20"/>
  <c r="C17" i="20"/>
  <c r="C14" i="20"/>
  <c r="C10" i="20"/>
  <c r="T25" i="1"/>
  <c r="Q285" i="1"/>
  <c r="AL126" i="12"/>
  <c r="N127" i="1"/>
  <c r="N128" i="1"/>
  <c r="Q139" i="1"/>
  <c r="T122" i="1"/>
  <c r="V23" i="1"/>
  <c r="V164" i="1"/>
  <c r="V267" i="1"/>
  <c r="V95" i="1"/>
  <c r="Q16" i="1"/>
  <c r="Q94" i="1"/>
  <c r="Q93" i="1"/>
  <c r="J100" i="1"/>
  <c r="T154" i="1"/>
  <c r="T95" i="1"/>
  <c r="E167" i="1"/>
  <c r="R167" i="1"/>
  <c r="H133" i="22"/>
  <c r="K225" i="22"/>
  <c r="K28" i="22"/>
  <c r="H45" i="22"/>
  <c r="K45" i="22"/>
  <c r="K129" i="22"/>
  <c r="H67" i="22"/>
  <c r="K67" i="22"/>
  <c r="H202" i="22"/>
  <c r="I202" i="22"/>
  <c r="K235" i="22"/>
  <c r="F261" i="22"/>
  <c r="F52" i="22"/>
  <c r="K131" i="22"/>
  <c r="F119" i="22"/>
  <c r="K175" i="22"/>
  <c r="F229" i="22"/>
  <c r="H232" i="22"/>
  <c r="K232" i="22"/>
  <c r="CC81" i="12"/>
  <c r="BX81" i="12"/>
  <c r="BR81" i="12"/>
  <c r="BR32" i="12"/>
  <c r="K277" i="22"/>
  <c r="CC85" i="12"/>
  <c r="BR85" i="12"/>
  <c r="BR52" i="12"/>
  <c r="CC52" i="12"/>
  <c r="I20" i="37"/>
  <c r="CC88" i="12"/>
  <c r="CC83" i="12"/>
  <c r="C23" i="20"/>
  <c r="E21" i="20"/>
  <c r="C21" i="20"/>
  <c r="CC42" i="12"/>
  <c r="K196" i="22"/>
  <c r="BV107" i="12"/>
  <c r="BW107" i="12"/>
  <c r="C73" i="27"/>
  <c r="BR27" i="12"/>
  <c r="CC16" i="12"/>
  <c r="BV57" i="12"/>
  <c r="BX105" i="12"/>
  <c r="BR48" i="12"/>
  <c r="CC92" i="12"/>
  <c r="K56" i="22"/>
  <c r="CC48" i="12"/>
  <c r="CA79" i="12"/>
  <c r="CC56" i="12"/>
  <c r="BX48" i="12"/>
  <c r="K72" i="22"/>
  <c r="V262" i="1"/>
  <c r="H240" i="1"/>
  <c r="H11" i="34"/>
  <c r="V263" i="1"/>
  <c r="H20" i="37"/>
  <c r="H2893" i="24"/>
  <c r="H2923" i="24"/>
  <c r="H18" i="22"/>
  <c r="I18" i="22"/>
  <c r="K50" i="22"/>
  <c r="K217" i="22"/>
  <c r="K281" i="22"/>
  <c r="I9" i="35"/>
  <c r="I17" i="34"/>
  <c r="H219" i="24"/>
  <c r="H18" i="37"/>
  <c r="H921" i="24"/>
  <c r="C140" i="27"/>
  <c r="G140" i="27"/>
  <c r="V213" i="1"/>
  <c r="H927" i="24"/>
  <c r="H1585" i="24"/>
  <c r="V288" i="1"/>
  <c r="K35" i="22"/>
  <c r="K73" i="22"/>
  <c r="K115" i="22"/>
  <c r="K127" i="22"/>
  <c r="CA89" i="12"/>
  <c r="H1266" i="24"/>
  <c r="K200" i="22"/>
  <c r="H2690" i="24"/>
  <c r="H10" i="34"/>
  <c r="I19" i="37"/>
  <c r="H19" i="37"/>
  <c r="T234" i="1"/>
  <c r="E474" i="24"/>
  <c r="V15" i="1"/>
  <c r="P270" i="1"/>
  <c r="K159" i="22"/>
  <c r="K165" i="22"/>
  <c r="K169" i="22"/>
  <c r="K172" i="22"/>
  <c r="C1386" i="24"/>
  <c r="F178" i="22"/>
  <c r="K154" i="22"/>
  <c r="K177" i="22"/>
  <c r="K241" i="22"/>
  <c r="H23" i="31"/>
  <c r="F220" i="22"/>
  <c r="T56" i="1"/>
  <c r="H3256" i="24"/>
  <c r="T15" i="1"/>
  <c r="H937" i="24"/>
  <c r="H367" i="24"/>
  <c r="H1540" i="24"/>
  <c r="H1032" i="24"/>
  <c r="H2054" i="24"/>
  <c r="C68" i="31"/>
  <c r="H68" i="31"/>
  <c r="H157" i="22"/>
  <c r="K157" i="22"/>
  <c r="I157" i="22"/>
  <c r="I199" i="22"/>
  <c r="H198" i="22"/>
  <c r="H111" i="22"/>
  <c r="I111" i="22"/>
  <c r="I29" i="22"/>
  <c r="K29" i="22"/>
  <c r="G32" i="22"/>
  <c r="I64" i="22"/>
  <c r="K64" i="22"/>
  <c r="H103" i="22"/>
  <c r="K103" i="22"/>
  <c r="I103" i="22"/>
  <c r="I105" i="22"/>
  <c r="I133" i="22"/>
  <c r="I166" i="22"/>
  <c r="K163" i="22"/>
  <c r="H160" i="22"/>
  <c r="K160" i="22"/>
  <c r="K199" i="22"/>
  <c r="F110" i="22"/>
  <c r="K144" i="22"/>
  <c r="H268" i="22"/>
  <c r="I268" i="22"/>
  <c r="I145" i="22"/>
  <c r="K145" i="22"/>
  <c r="K20" i="22"/>
  <c r="I20" i="22"/>
  <c r="H114" i="22"/>
  <c r="H214" i="22"/>
  <c r="K214" i="22"/>
  <c r="G10" i="22"/>
  <c r="G314" i="22"/>
  <c r="F10" i="22"/>
  <c r="F314" i="22"/>
  <c r="H244" i="22"/>
  <c r="I244" i="22"/>
  <c r="K282" i="22"/>
  <c r="K202" i="22"/>
  <c r="K215" i="22"/>
  <c r="H140" i="22"/>
  <c r="H260" i="22"/>
  <c r="I260" i="22"/>
  <c r="H79" i="22"/>
  <c r="I79" i="22"/>
  <c r="H24" i="22"/>
  <c r="I24" i="22"/>
  <c r="H188" i="22"/>
  <c r="I188" i="22"/>
  <c r="H25" i="22"/>
  <c r="K146" i="22"/>
  <c r="F179" i="22"/>
  <c r="H164" i="22"/>
  <c r="K33" i="22"/>
  <c r="K68" i="22"/>
  <c r="K212" i="22"/>
  <c r="K132" i="22"/>
  <c r="K161" i="22"/>
  <c r="K170" i="22"/>
  <c r="K211" i="22"/>
  <c r="K230" i="22"/>
  <c r="K143" i="22"/>
  <c r="H209" i="22"/>
  <c r="I209" i="22"/>
  <c r="G80" i="22"/>
  <c r="K105" i="22"/>
  <c r="H126" i="22"/>
  <c r="K126" i="22"/>
  <c r="H219" i="22"/>
  <c r="I219" i="22"/>
  <c r="K167" i="22"/>
  <c r="H228" i="22"/>
  <c r="I228" i="22"/>
  <c r="K117" i="22"/>
  <c r="F139" i="22"/>
  <c r="K114" i="22"/>
  <c r="H152" i="22"/>
  <c r="I152" i="22"/>
  <c r="F249" i="22"/>
  <c r="H250" i="22"/>
  <c r="I250" i="22"/>
  <c r="K155" i="22"/>
  <c r="H176" i="22"/>
  <c r="K176" i="22"/>
  <c r="K57" i="22"/>
  <c r="K243" i="22"/>
  <c r="K133" i="22"/>
  <c r="G110" i="22"/>
  <c r="I110" i="22"/>
  <c r="K137" i="22"/>
  <c r="G52" i="22"/>
  <c r="H70" i="22"/>
  <c r="I70" i="22"/>
  <c r="K245" i="22"/>
  <c r="H51" i="22"/>
  <c r="F32" i="22"/>
  <c r="H42" i="22"/>
  <c r="I42" i="22"/>
  <c r="H118" i="22"/>
  <c r="K118" i="22"/>
  <c r="K231" i="22"/>
  <c r="H234" i="22"/>
  <c r="K234" i="22"/>
  <c r="H257" i="22"/>
  <c r="H89" i="22"/>
  <c r="K89" i="22"/>
  <c r="K90" i="22"/>
  <c r="K227" i="22"/>
  <c r="K258" i="22"/>
  <c r="K228" i="22"/>
  <c r="H229" i="22"/>
  <c r="K233" i="22"/>
  <c r="H22" i="22"/>
  <c r="H11" i="22"/>
  <c r="I11" i="22"/>
  <c r="C48" i="35"/>
  <c r="C49" i="35"/>
  <c r="E72" i="27"/>
  <c r="C72" i="27"/>
  <c r="G72" i="27"/>
  <c r="I198" i="22"/>
  <c r="I140" i="22"/>
  <c r="I234" i="22"/>
  <c r="I214" i="22"/>
  <c r="K260" i="22"/>
  <c r="K24" i="22"/>
  <c r="K70" i="22"/>
  <c r="H52" i="22"/>
  <c r="K250" i="22"/>
  <c r="BR88" i="12"/>
  <c r="F27" i="20"/>
  <c r="F24" i="20"/>
  <c r="F20" i="20"/>
  <c r="E27" i="32"/>
  <c r="C41" i="32"/>
  <c r="I41" i="32"/>
  <c r="C27" i="32"/>
  <c r="H27" i="32"/>
  <c r="C60" i="32"/>
  <c r="H32" i="32"/>
  <c r="C35" i="32"/>
  <c r="I35" i="32"/>
  <c r="H14" i="35"/>
  <c r="C43" i="35"/>
  <c r="I43" i="35"/>
  <c r="I20" i="34"/>
  <c r="H20" i="34"/>
  <c r="H909" i="29"/>
  <c r="C943" i="29"/>
  <c r="H40" i="32"/>
  <c r="C31" i="32"/>
  <c r="I31" i="32"/>
  <c r="E77" i="32"/>
  <c r="H48" i="32"/>
  <c r="K257" i="22"/>
  <c r="I257" i="22"/>
  <c r="K229" i="22"/>
  <c r="I229" i="22"/>
  <c r="I114" i="22"/>
  <c r="H110" i="22"/>
  <c r="I89" i="22"/>
  <c r="H119" i="22"/>
  <c r="K119" i="22"/>
  <c r="I126" i="22"/>
  <c r="K164" i="22"/>
  <c r="I164" i="22"/>
  <c r="H261" i="22"/>
  <c r="I261" i="22"/>
  <c r="C35" i="27"/>
  <c r="G35" i="27"/>
  <c r="I171" i="22"/>
  <c r="I45" i="22"/>
  <c r="I67" i="22"/>
  <c r="H97" i="22"/>
  <c r="I97" i="22"/>
  <c r="I83" i="22"/>
  <c r="I146" i="22"/>
  <c r="E35" i="35"/>
  <c r="I19" i="35"/>
  <c r="H15" i="34"/>
  <c r="H216" i="22"/>
  <c r="K216" i="22"/>
  <c r="I279" i="22"/>
  <c r="K279" i="22"/>
  <c r="AQ43" i="12"/>
  <c r="AS45" i="12"/>
  <c r="BV96" i="12"/>
  <c r="BU71" i="12"/>
  <c r="I108" i="22"/>
  <c r="C30" i="34"/>
  <c r="H13" i="34"/>
  <c r="H24" i="34"/>
  <c r="I27" i="35"/>
  <c r="H254" i="22"/>
  <c r="K254" i="22"/>
  <c r="D48" i="37"/>
  <c r="I106" i="22"/>
  <c r="K106" i="22"/>
  <c r="I232" i="22"/>
  <c r="K134" i="22"/>
  <c r="I158" i="22"/>
  <c r="K158" i="22"/>
  <c r="H192" i="22"/>
  <c r="I192" i="22"/>
  <c r="I246" i="22"/>
  <c r="I256" i="22"/>
  <c r="I22" i="34"/>
  <c r="I33" i="35"/>
  <c r="T93" i="1"/>
  <c r="H342" i="24"/>
  <c r="I14" i="22"/>
  <c r="D35" i="35"/>
  <c r="H27" i="37"/>
  <c r="F48" i="37"/>
  <c r="F48" i="35"/>
  <c r="H28" i="34"/>
  <c r="V241" i="1"/>
  <c r="C37" i="32"/>
  <c r="I37" i="32"/>
  <c r="H36" i="32"/>
  <c r="I30" i="22"/>
  <c r="I278" i="22"/>
  <c r="H24" i="32"/>
  <c r="H3967" i="24"/>
  <c r="J288" i="1"/>
  <c r="N270" i="1"/>
  <c r="I28" i="34"/>
  <c r="T125" i="1"/>
  <c r="AZ95" i="12"/>
  <c r="AZ114" i="12"/>
  <c r="AZ118" i="12"/>
  <c r="I242" i="22"/>
  <c r="E43" i="35"/>
  <c r="E49" i="35"/>
  <c r="H35" i="35"/>
  <c r="K110" i="22"/>
  <c r="I35" i="35"/>
  <c r="D43" i="35"/>
  <c r="K261" i="22"/>
  <c r="BB114" i="12"/>
  <c r="BB118" i="12"/>
  <c r="D100" i="27"/>
  <c r="D84" i="27"/>
  <c r="D83" i="27"/>
  <c r="I30" i="34"/>
  <c r="H30" i="34"/>
  <c r="I216" i="22"/>
  <c r="I118" i="22"/>
  <c r="K79" i="22"/>
  <c r="K140" i="22"/>
  <c r="K244" i="22"/>
  <c r="H85" i="22"/>
  <c r="I85" i="22"/>
  <c r="I9" i="34"/>
  <c r="H9" i="34"/>
  <c r="H9" i="37"/>
  <c r="I225" i="22"/>
  <c r="C66" i="32"/>
  <c r="I66" i="32"/>
  <c r="BR31" i="12"/>
  <c r="Q274" i="1"/>
  <c r="E141" i="1"/>
  <c r="T23" i="1"/>
  <c r="Q140" i="1"/>
  <c r="S140" i="1"/>
  <c r="J119" i="1"/>
  <c r="Q120" i="1"/>
  <c r="S120" i="1"/>
  <c r="Q206" i="1"/>
  <c r="Q268" i="1"/>
  <c r="I240" i="1"/>
  <c r="M127" i="1"/>
  <c r="M128" i="1"/>
  <c r="J267" i="1"/>
  <c r="H1868" i="29"/>
  <c r="K219" i="22"/>
  <c r="H222" i="22"/>
  <c r="I222" i="22"/>
  <c r="J59" i="1"/>
  <c r="I22" i="37"/>
  <c r="I11" i="37"/>
  <c r="H16" i="37"/>
  <c r="H11" i="37"/>
  <c r="I14" i="37"/>
  <c r="F2003" i="29"/>
  <c r="D136" i="27"/>
  <c r="BU38" i="12"/>
  <c r="BU48" i="12"/>
  <c r="BU17" i="12"/>
  <c r="BR60" i="12"/>
  <c r="CC60" i="12"/>
  <c r="BV117" i="12"/>
  <c r="BW117" i="12"/>
  <c r="F45" i="35"/>
  <c r="F49" i="35"/>
  <c r="F119" i="32"/>
  <c r="F123" i="32"/>
  <c r="C122" i="32"/>
  <c r="E136" i="27"/>
  <c r="E84" i="27"/>
  <c r="E83" i="27"/>
  <c r="E122" i="32"/>
  <c r="H138" i="27"/>
  <c r="F141" i="27"/>
  <c r="BR26" i="12"/>
  <c r="CC26" i="12"/>
  <c r="CA41" i="12"/>
  <c r="BH41" i="12"/>
  <c r="CC41" i="12"/>
  <c r="CA57" i="12"/>
  <c r="BH57" i="12"/>
  <c r="BR35" i="12"/>
  <c r="CC31" i="12"/>
  <c r="T95" i="12"/>
  <c r="CC84" i="12"/>
  <c r="BX84" i="12"/>
  <c r="BR84" i="12"/>
  <c r="CC39" i="12"/>
  <c r="BU22" i="12"/>
  <c r="CC22" i="12"/>
  <c r="BR22" i="12"/>
  <c r="CC37" i="12"/>
  <c r="CC49" i="12"/>
  <c r="BR49" i="12"/>
  <c r="BX78" i="12"/>
  <c r="CC78" i="12"/>
  <c r="BR78" i="12"/>
  <c r="BT115" i="12"/>
  <c r="CC115" i="12"/>
  <c r="CD115" i="12"/>
  <c r="BU115" i="12"/>
  <c r="BR115" i="12"/>
  <c r="CC35" i="12"/>
  <c r="BH53" i="12"/>
  <c r="CA53" i="12"/>
  <c r="BR89" i="12"/>
  <c r="BX89" i="12"/>
  <c r="CC89" i="12"/>
  <c r="AQ75" i="12"/>
  <c r="AS95" i="12"/>
  <c r="AS114" i="12"/>
  <c r="AS118" i="12"/>
  <c r="AS123" i="12"/>
  <c r="BR69" i="12"/>
  <c r="BU69" i="12"/>
  <c r="CC69" i="12"/>
  <c r="BH67" i="12"/>
  <c r="BI95" i="12"/>
  <c r="BR72" i="12"/>
  <c r="BU72" i="12"/>
  <c r="Q45" i="12"/>
  <c r="BR24" i="12"/>
  <c r="Q95" i="12"/>
  <c r="CC72" i="12"/>
  <c r="BX72" i="12"/>
  <c r="CA66" i="12"/>
  <c r="BH66" i="12"/>
  <c r="T21" i="12"/>
  <c r="CC29" i="12"/>
  <c r="BX91" i="12"/>
  <c r="CC91" i="12"/>
  <c r="BX104" i="12"/>
  <c r="CC25" i="12"/>
  <c r="BO33" i="12"/>
  <c r="CA33" i="12"/>
  <c r="CA51" i="12"/>
  <c r="BH51" i="12"/>
  <c r="BH59" i="12"/>
  <c r="BJ95" i="12"/>
  <c r="AQ34" i="12"/>
  <c r="AQ44" i="12"/>
  <c r="AQ67" i="12"/>
  <c r="BI45" i="12"/>
  <c r="BH24" i="12"/>
  <c r="BH33" i="12"/>
  <c r="BH43" i="12"/>
  <c r="BH86" i="12"/>
  <c r="BI21" i="12"/>
  <c r="BJ45" i="12"/>
  <c r="BJ114" i="12"/>
  <c r="BJ118" i="12"/>
  <c r="BJ122" i="12"/>
  <c r="BH23" i="12"/>
  <c r="CC68" i="12"/>
  <c r="BQ21" i="12"/>
  <c r="BO17" i="12"/>
  <c r="CA55" i="12"/>
  <c r="BH55" i="12"/>
  <c r="BR65" i="12"/>
  <c r="M45" i="12"/>
  <c r="M114" i="12"/>
  <c r="M118" i="12"/>
  <c r="M125" i="12"/>
  <c r="AB95" i="12"/>
  <c r="AA50" i="12"/>
  <c r="BR50" i="12"/>
  <c r="BO58" i="12"/>
  <c r="BH58" i="12"/>
  <c r="CC58" i="12"/>
  <c r="R21" i="12"/>
  <c r="BH40" i="12"/>
  <c r="CA40" i="12"/>
  <c r="R45" i="12"/>
  <c r="R114" i="12"/>
  <c r="R118" i="12"/>
  <c r="S114" i="12"/>
  <c r="S118" i="12"/>
  <c r="CD117" i="12"/>
  <c r="F43" i="37"/>
  <c r="F117" i="32"/>
  <c r="F43" i="35"/>
  <c r="F38" i="34"/>
  <c r="CA21" i="12"/>
  <c r="CC55" i="12"/>
  <c r="CC24" i="12"/>
  <c r="BR34" i="12"/>
  <c r="CC34" i="12"/>
  <c r="AQ45" i="12"/>
  <c r="CC53" i="12"/>
  <c r="BR53" i="12"/>
  <c r="BR44" i="12"/>
  <c r="CC40" i="12"/>
  <c r="BR40" i="12"/>
  <c r="BR86" i="12"/>
  <c r="CC86" i="12"/>
  <c r="CC51" i="12"/>
  <c r="BX51" i="12"/>
  <c r="CC66" i="12"/>
  <c r="CC67" i="12"/>
  <c r="CC44" i="12"/>
  <c r="CC33" i="12"/>
  <c r="CA58" i="12"/>
  <c r="BH17" i="12"/>
  <c r="CC17" i="12"/>
  <c r="CA17" i="12"/>
  <c r="BO21" i="12"/>
  <c r="CC23" i="12"/>
  <c r="BU67" i="12"/>
  <c r="BX59" i="12"/>
  <c r="CC59" i="12"/>
  <c r="BU75" i="12"/>
  <c r="CC75" i="12"/>
  <c r="BO95" i="12"/>
  <c r="BR66" i="12"/>
  <c r="CC57" i="12"/>
  <c r="BR57" i="12"/>
  <c r="BH21" i="12"/>
  <c r="N260" i="1"/>
  <c r="Q286" i="1"/>
  <c r="Q44" i="1"/>
  <c r="J91" i="1"/>
  <c r="Q91" i="1"/>
  <c r="I118" i="1"/>
  <c r="E171" i="1"/>
  <c r="R171" i="1"/>
  <c r="Q169" i="1"/>
  <c r="J241" i="1"/>
  <c r="R241" i="1"/>
  <c r="S139" i="1"/>
  <c r="Q170" i="1"/>
  <c r="S170" i="1"/>
  <c r="T239" i="1"/>
  <c r="Q238" i="1"/>
  <c r="BE125" i="12"/>
  <c r="Q101" i="1"/>
  <c r="Q38" i="1"/>
  <c r="Q263" i="1"/>
  <c r="Q163" i="1"/>
  <c r="T225" i="1"/>
  <c r="O13" i="1"/>
  <c r="G55" i="1"/>
  <c r="V107" i="1"/>
  <c r="V112" i="1"/>
  <c r="N28" i="1"/>
  <c r="T60" i="1"/>
  <c r="V27" i="1"/>
  <c r="E17" i="1"/>
  <c r="R17" i="1"/>
  <c r="Q272" i="1"/>
  <c r="F270" i="1"/>
  <c r="Q97" i="1"/>
  <c r="T149" i="1"/>
  <c r="V228" i="1"/>
  <c r="Q227" i="1"/>
  <c r="T112" i="1"/>
  <c r="N82" i="1"/>
  <c r="E287" i="1"/>
  <c r="N88" i="1"/>
  <c r="N126" i="1"/>
  <c r="V126" i="1"/>
  <c r="E234" i="1"/>
  <c r="J154" i="1"/>
  <c r="E175" i="1"/>
  <c r="R175" i="1"/>
  <c r="L33" i="1"/>
  <c r="F17" i="1"/>
  <c r="F13" i="1"/>
  <c r="V84" i="1"/>
  <c r="T46" i="1"/>
  <c r="V239" i="1"/>
  <c r="T159" i="1"/>
  <c r="J112" i="1"/>
  <c r="O28" i="1"/>
  <c r="F233" i="1"/>
  <c r="F231" i="1"/>
  <c r="J133" i="1"/>
  <c r="R133" i="1"/>
  <c r="P33" i="1"/>
  <c r="V135" i="1"/>
  <c r="T213" i="1"/>
  <c r="V159" i="1"/>
  <c r="V31" i="1"/>
  <c r="V69" i="1"/>
  <c r="Q189" i="1"/>
  <c r="E158" i="1"/>
  <c r="T267" i="1"/>
  <c r="T180" i="1"/>
  <c r="I55" i="1"/>
  <c r="T26" i="1"/>
  <c r="J229" i="1"/>
  <c r="Q177" i="1"/>
  <c r="E161" i="1"/>
  <c r="R161" i="1"/>
  <c r="M240" i="1"/>
  <c r="V30" i="1"/>
  <c r="T31" i="1"/>
  <c r="V26" i="1"/>
  <c r="V103" i="1"/>
  <c r="N258" i="1"/>
  <c r="J135" i="1"/>
  <c r="E103" i="1"/>
  <c r="E149" i="1"/>
  <c r="E148" i="1"/>
  <c r="N158" i="1"/>
  <c r="J159" i="1"/>
  <c r="O118" i="1"/>
  <c r="T118" i="1"/>
  <c r="V125" i="1"/>
  <c r="E252" i="1"/>
  <c r="R252" i="1"/>
  <c r="F251" i="1"/>
  <c r="E15" i="1"/>
  <c r="R15" i="1"/>
  <c r="N230" i="1"/>
  <c r="V230" i="1"/>
  <c r="V235" i="1"/>
  <c r="N233" i="1"/>
  <c r="V59" i="1"/>
  <c r="T59" i="1"/>
  <c r="J221" i="1"/>
  <c r="Q221" i="1"/>
  <c r="N219" i="1"/>
  <c r="V219" i="1"/>
  <c r="Q235" i="1"/>
  <c r="Q207" i="1"/>
  <c r="Q249" i="1"/>
  <c r="N250" i="1"/>
  <c r="V250" i="1"/>
  <c r="V256" i="1"/>
  <c r="V251" i="1"/>
  <c r="T21" i="1"/>
  <c r="V21" i="1"/>
  <c r="J228" i="1"/>
  <c r="N225" i="1"/>
  <c r="V225" i="1"/>
  <c r="J25" i="1"/>
  <c r="K14" i="1"/>
  <c r="K230" i="1"/>
  <c r="K233" i="1"/>
  <c r="K231" i="1"/>
  <c r="V287" i="1"/>
  <c r="J287" i="1"/>
  <c r="BJ123" i="12"/>
  <c r="BJ124" i="12"/>
  <c r="N14" i="1"/>
  <c r="V14" i="1"/>
  <c r="V25" i="1"/>
  <c r="E84" i="1"/>
  <c r="R84" i="1"/>
  <c r="Q85" i="1"/>
  <c r="Q84" i="1"/>
  <c r="Q265" i="1"/>
  <c r="BG125" i="12"/>
  <c r="E119" i="1"/>
  <c r="R119" i="1"/>
  <c r="Q121" i="1"/>
  <c r="Q71" i="1"/>
  <c r="J161" i="1"/>
  <c r="S200" i="1"/>
  <c r="Q200" i="1"/>
  <c r="E279" i="1"/>
  <c r="R279" i="1"/>
  <c r="S279" i="1"/>
  <c r="Q237" i="1"/>
  <c r="O231" i="1"/>
  <c r="T233" i="1"/>
  <c r="T230" i="1"/>
  <c r="Q86" i="1"/>
  <c r="S86" i="1"/>
  <c r="O82" i="1"/>
  <c r="O106" i="1"/>
  <c r="N212" i="1"/>
  <c r="V212" i="1"/>
  <c r="J213" i="1"/>
  <c r="Q213" i="1"/>
  <c r="V46" i="1"/>
  <c r="J264" i="1"/>
  <c r="Q264" i="1"/>
  <c r="J256" i="1"/>
  <c r="Q257" i="1"/>
  <c r="Q256" i="1"/>
  <c r="V242" i="1"/>
  <c r="K259" i="1"/>
  <c r="O117" i="1"/>
  <c r="T117" i="1"/>
  <c r="E66" i="1"/>
  <c r="R66" i="1"/>
  <c r="M83" i="1"/>
  <c r="F250" i="1"/>
  <c r="V266" i="1"/>
  <c r="V93" i="1"/>
  <c r="T288" i="1"/>
  <c r="P118" i="1"/>
  <c r="Q143" i="1"/>
  <c r="S143" i="1"/>
  <c r="Q253" i="1"/>
  <c r="T126" i="1"/>
  <c r="Q98" i="1"/>
  <c r="S98" i="1"/>
  <c r="H145" i="1"/>
  <c r="L13" i="1"/>
  <c r="V161" i="1"/>
  <c r="H127" i="1"/>
  <c r="H128" i="1"/>
  <c r="Q187" i="1"/>
  <c r="Q131" i="1"/>
  <c r="E23" i="1"/>
  <c r="Q138" i="1"/>
  <c r="Q226" i="1"/>
  <c r="Q176" i="1"/>
  <c r="Q175" i="1"/>
  <c r="S175" i="1"/>
  <c r="J27" i="1"/>
  <c r="V28" i="1"/>
  <c r="T231" i="1"/>
  <c r="F386" i="22"/>
  <c r="Q52" i="1"/>
  <c r="N259" i="1"/>
  <c r="P240" i="1"/>
  <c r="T72" i="1"/>
  <c r="Q183" i="1"/>
  <c r="E154" i="1"/>
  <c r="R154" i="1"/>
  <c r="Q166" i="1"/>
  <c r="S166" i="1"/>
  <c r="J122" i="1"/>
  <c r="Q123" i="1"/>
  <c r="E50" i="1"/>
  <c r="J208" i="1"/>
  <c r="E164" i="1"/>
  <c r="V202" i="1"/>
  <c r="J202" i="1"/>
  <c r="J201" i="1"/>
  <c r="F271" i="1"/>
  <c r="E243" i="1"/>
  <c r="F239" i="1"/>
  <c r="K33" i="1"/>
  <c r="J40" i="1"/>
  <c r="Q40" i="1"/>
  <c r="T107" i="1"/>
  <c r="J199" i="1"/>
  <c r="Q199" i="1"/>
  <c r="Q133" i="1"/>
  <c r="V82" i="1"/>
  <c r="E233" i="1"/>
  <c r="S71" i="1"/>
  <c r="Q228" i="1"/>
  <c r="Q159" i="1"/>
  <c r="V233" i="1"/>
  <c r="N231" i="1"/>
  <c r="V231" i="1"/>
  <c r="V158" i="1"/>
  <c r="N146" i="1"/>
  <c r="N147" i="1"/>
  <c r="J258" i="1"/>
  <c r="Q122" i="1"/>
  <c r="Q202" i="1"/>
  <c r="Q201" i="1"/>
  <c r="F387" i="22"/>
  <c r="H23" i="32"/>
  <c r="H37" i="32"/>
  <c r="H81" i="32"/>
  <c r="H39" i="32"/>
  <c r="H16" i="32"/>
  <c r="H85" i="32"/>
  <c r="H41" i="32"/>
  <c r="H90" i="32"/>
  <c r="H11" i="32"/>
  <c r="H60" i="32"/>
  <c r="H14" i="32"/>
  <c r="H29" i="32"/>
  <c r="J197" i="1"/>
  <c r="Q198" i="1"/>
  <c r="S198" i="1"/>
  <c r="N197" i="1"/>
  <c r="V198" i="1"/>
  <c r="N54" i="1"/>
  <c r="N55" i="1"/>
  <c r="N53" i="1"/>
  <c r="Q59" i="1"/>
  <c r="Q77" i="1"/>
  <c r="Q76" i="1"/>
  <c r="Q81" i="1"/>
  <c r="G139" i="22"/>
  <c r="L139" i="22"/>
  <c r="H138" i="22"/>
  <c r="K138" i="22"/>
  <c r="K162" i="22"/>
  <c r="I160" i="22"/>
  <c r="T208" i="1"/>
  <c r="Q181" i="1"/>
  <c r="Q180" i="1"/>
  <c r="T150" i="1"/>
  <c r="Q162" i="1"/>
  <c r="I197" i="22"/>
  <c r="G179" i="22"/>
  <c r="I196" i="22"/>
  <c r="AZ45" i="12"/>
  <c r="S49" i="1"/>
  <c r="N33" i="1"/>
  <c r="J114" i="12"/>
  <c r="J118" i="12"/>
  <c r="Q113" i="1"/>
  <c r="E112" i="1"/>
  <c r="R112" i="1"/>
  <c r="I82" i="1"/>
  <c r="V106" i="1"/>
  <c r="J106" i="1"/>
  <c r="Q107" i="1"/>
  <c r="Q106" i="1"/>
  <c r="F45" i="37"/>
  <c r="F49" i="37"/>
  <c r="Q115" i="1"/>
  <c r="BR23" i="12"/>
  <c r="C1853" i="29"/>
  <c r="D327" i="29"/>
  <c r="H1902" i="29"/>
  <c r="H1817" i="29"/>
  <c r="D1413" i="29"/>
  <c r="I27" i="37"/>
  <c r="C43" i="37"/>
  <c r="C48" i="37"/>
  <c r="K52" i="22"/>
  <c r="I52" i="22"/>
  <c r="I51" i="22"/>
  <c r="K51" i="22"/>
  <c r="BS75" i="12"/>
  <c r="BT75" i="12"/>
  <c r="BS74" i="12"/>
  <c r="BT74" i="12"/>
  <c r="BS51" i="12"/>
  <c r="BT51" i="12"/>
  <c r="BS47" i="12"/>
  <c r="BT47" i="12"/>
  <c r="BS34" i="12"/>
  <c r="CD34" i="12"/>
  <c r="BT34" i="12"/>
  <c r="BS33" i="12"/>
  <c r="BT33" i="12"/>
  <c r="BS41" i="12"/>
  <c r="BT29" i="12"/>
  <c r="BW109" i="12"/>
  <c r="BS20" i="12"/>
  <c r="BT20" i="12"/>
  <c r="I138" i="22"/>
  <c r="BS76" i="12"/>
  <c r="BT76" i="12"/>
  <c r="BS24" i="12"/>
  <c r="BT24" i="12"/>
  <c r="BS19" i="12"/>
  <c r="BT19" i="12"/>
  <c r="H10" i="22"/>
  <c r="K10" i="22"/>
  <c r="I22" i="22"/>
  <c r="F25" i="15"/>
  <c r="J20" i="15"/>
  <c r="I19" i="15"/>
  <c r="I18" i="15"/>
  <c r="I60" i="15"/>
  <c r="I132" i="15"/>
  <c r="J250" i="1"/>
  <c r="Q252" i="1"/>
  <c r="S294" i="1"/>
  <c r="CC18" i="12"/>
  <c r="BR82" i="12"/>
  <c r="CC82" i="12"/>
  <c r="O69" i="31"/>
  <c r="D69" i="31"/>
  <c r="H85" i="31"/>
  <c r="H8" i="31"/>
  <c r="J8" i="31"/>
  <c r="H75" i="31"/>
  <c r="C73" i="31"/>
  <c r="H73" i="31"/>
  <c r="E105" i="31"/>
  <c r="E112" i="31"/>
  <c r="H74" i="31"/>
  <c r="H67" i="31"/>
  <c r="K68" i="31"/>
  <c r="H71" i="31"/>
  <c r="N69" i="31"/>
  <c r="H56" i="31"/>
  <c r="BV73" i="12"/>
  <c r="BW73" i="12"/>
  <c r="BS43" i="12"/>
  <c r="BT43" i="12"/>
  <c r="BS49" i="12"/>
  <c r="BS61" i="12"/>
  <c r="BT61" i="12"/>
  <c r="BS38" i="12"/>
  <c r="BT38" i="12"/>
  <c r="BS28" i="12"/>
  <c r="BT28" i="12"/>
  <c r="BS87" i="12"/>
  <c r="BT87" i="12"/>
  <c r="BS79" i="12"/>
  <c r="BT79" i="12"/>
  <c r="BW34" i="12"/>
  <c r="BS40" i="12"/>
  <c r="BT40" i="12"/>
  <c r="BS89" i="12"/>
  <c r="BS55" i="12"/>
  <c r="BT55" i="12"/>
  <c r="BS67" i="12"/>
  <c r="BT67" i="12"/>
  <c r="BS52" i="12"/>
  <c r="BT52" i="12"/>
  <c r="BV39" i="12"/>
  <c r="BW39" i="12"/>
  <c r="BV36" i="12"/>
  <c r="BW36" i="12"/>
  <c r="BS88" i="12"/>
  <c r="BT88" i="12"/>
  <c r="BS84" i="12"/>
  <c r="BV79" i="12"/>
  <c r="BW79" i="12"/>
  <c r="BS82" i="12"/>
  <c r="BT82" i="12"/>
  <c r="BS18" i="12"/>
  <c r="BT18" i="12"/>
  <c r="BV23" i="12"/>
  <c r="BW23" i="12"/>
  <c r="BV89" i="12"/>
  <c r="BW89" i="12"/>
  <c r="BV85" i="12"/>
  <c r="BW85" i="12"/>
  <c r="BS90" i="12"/>
  <c r="BT90" i="12"/>
  <c r="BS83" i="12"/>
  <c r="BT83" i="12"/>
  <c r="BS80" i="12"/>
  <c r="BT80" i="12"/>
  <c r="BS78" i="12"/>
  <c r="BT78" i="12"/>
  <c r="BV41" i="12"/>
  <c r="BW41" i="12"/>
  <c r="BV71" i="12"/>
  <c r="BW71" i="12"/>
  <c r="BS68" i="12"/>
  <c r="BS72" i="12"/>
  <c r="BS26" i="12"/>
  <c r="BT26" i="12"/>
  <c r="BV64" i="12"/>
  <c r="BW64" i="12"/>
  <c r="BV91" i="12"/>
  <c r="BV53" i="12"/>
  <c r="BW53" i="12"/>
  <c r="BV94" i="12"/>
  <c r="BW94" i="12"/>
  <c r="BV77" i="12"/>
  <c r="BW77" i="12"/>
  <c r="BV42" i="12"/>
  <c r="BW42" i="12"/>
  <c r="BV32" i="12"/>
  <c r="BW32" i="12"/>
  <c r="BV90" i="12"/>
  <c r="BW90" i="12"/>
  <c r="BV72" i="12"/>
  <c r="BW72" i="12"/>
  <c r="BS37" i="12"/>
  <c r="BT37" i="12"/>
  <c r="BS23" i="12"/>
  <c r="BT84" i="12"/>
  <c r="BS66" i="12"/>
  <c r="BS62" i="12"/>
  <c r="BT62" i="12"/>
  <c r="CD79" i="12"/>
  <c r="BR43" i="12"/>
  <c r="AQ95" i="12"/>
  <c r="BU79" i="12"/>
  <c r="BR74" i="12"/>
  <c r="BR58" i="12"/>
  <c r="BU45" i="12"/>
  <c r="AQ21" i="12"/>
  <c r="E25" i="1"/>
  <c r="K22" i="22"/>
  <c r="AR122" i="12"/>
  <c r="AR124" i="12"/>
  <c r="BR36" i="12"/>
  <c r="CC36" i="12"/>
  <c r="BO45" i="12"/>
  <c r="BO114" i="12"/>
  <c r="BO118" i="12"/>
  <c r="BO125" i="12"/>
  <c r="CA36" i="12"/>
  <c r="AA95" i="12"/>
  <c r="AA16" i="12"/>
  <c r="H100" i="31"/>
  <c r="BX77" i="12"/>
  <c r="H2441" i="24"/>
  <c r="E2472" i="24"/>
  <c r="BX40" i="12"/>
  <c r="H3535" i="24"/>
  <c r="C998" i="24"/>
  <c r="I998" i="24"/>
  <c r="H923" i="24"/>
  <c r="H924" i="24"/>
  <c r="E3219" i="24"/>
  <c r="H3219" i="24"/>
  <c r="H3185" i="24"/>
  <c r="C474" i="24"/>
  <c r="I474" i="24"/>
  <c r="H436" i="24"/>
  <c r="BU43" i="12"/>
  <c r="E4000" i="24"/>
  <c r="H3969" i="24"/>
  <c r="H3973" i="24"/>
  <c r="H2542" i="24"/>
  <c r="C2544" i="24"/>
  <c r="I2544" i="24"/>
  <c r="H4163" i="24"/>
  <c r="E4166" i="24"/>
  <c r="BX65" i="12"/>
  <c r="H1971" i="24"/>
  <c r="E318" i="24"/>
  <c r="D2817" i="24"/>
  <c r="H2708" i="24"/>
  <c r="H3738" i="24"/>
  <c r="C3825" i="24"/>
  <c r="C2352" i="24"/>
  <c r="H2282" i="24"/>
  <c r="H1536" i="24"/>
  <c r="E2132" i="24"/>
  <c r="E3825" i="24"/>
  <c r="BX83" i="12"/>
  <c r="BU87" i="12"/>
  <c r="BU16" i="12"/>
  <c r="BY16" i="12"/>
  <c r="BH95" i="12"/>
  <c r="CC87" i="12"/>
  <c r="BV78" i="12"/>
  <c r="BW78" i="12"/>
  <c r="BX18" i="12"/>
  <c r="BU19" i="12"/>
  <c r="H2440" i="24"/>
  <c r="BU89" i="12"/>
  <c r="BU61" i="12"/>
  <c r="D105" i="31"/>
  <c r="D112" i="31"/>
  <c r="C69" i="31"/>
  <c r="H69" i="31"/>
  <c r="BV43" i="12"/>
  <c r="BS91" i="12"/>
  <c r="BT91" i="12"/>
  <c r="BS22" i="12"/>
  <c r="BT22" i="12"/>
  <c r="BT49" i="12"/>
  <c r="BV93" i="12"/>
  <c r="BW93" i="12"/>
  <c r="BV76" i="12"/>
  <c r="BW76" i="12"/>
  <c r="BV81" i="12"/>
  <c r="BW81" i="12"/>
  <c r="BT73" i="12"/>
  <c r="BV20" i="12"/>
  <c r="BV86" i="12"/>
  <c r="BW86" i="12"/>
  <c r="BV38" i="12"/>
  <c r="BV55" i="12"/>
  <c r="BW55" i="12"/>
  <c r="BW91" i="12"/>
  <c r="BV69" i="12"/>
  <c r="BW69" i="12"/>
  <c r="BV63" i="12"/>
  <c r="BW63" i="12"/>
  <c r="BV26" i="12"/>
  <c r="BW26" i="12"/>
  <c r="BV74" i="12"/>
  <c r="BW74" i="12"/>
  <c r="BV47" i="12"/>
  <c r="BV17" i="12"/>
  <c r="BW17" i="12"/>
  <c r="BV67" i="12"/>
  <c r="BW67" i="12"/>
  <c r="BV68" i="12"/>
  <c r="BW68" i="12"/>
  <c r="BV52" i="12"/>
  <c r="CD52" i="12"/>
  <c r="BV40" i="12"/>
  <c r="CD40" i="12"/>
  <c r="BV75" i="12"/>
  <c r="BS36" i="12"/>
  <c r="BS39" i="12"/>
  <c r="BT39" i="12"/>
  <c r="BS17" i="12"/>
  <c r="CD17" i="12"/>
  <c r="BS53" i="12"/>
  <c r="BT53" i="12"/>
  <c r="BS56" i="12"/>
  <c r="BT56" i="12"/>
  <c r="BS71" i="12"/>
  <c r="CD71" i="12"/>
  <c r="BS45" i="12"/>
  <c r="BU21" i="12"/>
  <c r="CA45" i="12"/>
  <c r="AA21" i="12"/>
  <c r="K146" i="15"/>
  <c r="C105" i="31"/>
  <c r="M69" i="31"/>
  <c r="H93" i="31"/>
  <c r="BX69" i="12"/>
  <c r="BS58" i="12"/>
  <c r="BT58" i="12"/>
  <c r="BX95" i="12"/>
  <c r="BW60" i="12"/>
  <c r="BV58" i="12"/>
  <c r="BW58" i="12"/>
  <c r="BV95" i="12"/>
  <c r="BW95" i="12"/>
  <c r="BV50" i="12"/>
  <c r="BW50" i="12"/>
  <c r="BS60" i="12"/>
  <c r="BT60" i="12"/>
  <c r="BV27" i="12"/>
  <c r="BW27" i="12"/>
  <c r="BV44" i="12"/>
  <c r="BW44" i="12"/>
  <c r="BV35" i="12"/>
  <c r="BW35" i="12"/>
  <c r="BV33" i="12"/>
  <c r="BW33" i="12"/>
  <c r="BS25" i="12"/>
  <c r="BT25" i="12"/>
  <c r="BV70" i="12"/>
  <c r="BW70" i="12"/>
  <c r="BV46" i="12"/>
  <c r="BS65" i="12"/>
  <c r="CD65" i="12"/>
  <c r="BV24" i="12"/>
  <c r="BW24" i="12"/>
  <c r="BW52" i="12"/>
  <c r="BW38" i="12"/>
  <c r="BW75" i="12"/>
  <c r="H105" i="31"/>
  <c r="C112" i="31"/>
  <c r="BW46" i="12"/>
  <c r="BS16" i="12"/>
  <c r="K25" i="22"/>
  <c r="J28" i="1"/>
  <c r="Q30" i="1"/>
  <c r="BR87" i="12"/>
  <c r="AB114" i="12"/>
  <c r="AB118" i="12"/>
  <c r="AA114" i="12"/>
  <c r="AA118" i="12"/>
  <c r="AA125" i="12"/>
  <c r="Z114" i="12"/>
  <c r="Z118" i="12"/>
  <c r="AL125" i="12"/>
  <c r="CD113" i="12"/>
  <c r="BW57" i="12"/>
  <c r="AD114" i="12"/>
  <c r="AD118" i="12"/>
  <c r="C114" i="12"/>
  <c r="C118" i="12"/>
  <c r="P114" i="12"/>
  <c r="P118" i="12"/>
  <c r="BW40" i="12"/>
  <c r="CD90" i="12"/>
  <c r="L114" i="12"/>
  <c r="L118" i="12"/>
  <c r="AQ114" i="12"/>
  <c r="AQ118" i="12"/>
  <c r="BT36" i="12"/>
  <c r="N114" i="12"/>
  <c r="N118" i="12"/>
  <c r="E114" i="12"/>
  <c r="E118" i="12"/>
  <c r="AK114" i="12"/>
  <c r="AK118" i="12"/>
  <c r="W95" i="12"/>
  <c r="AP114" i="12"/>
  <c r="AP118" i="12"/>
  <c r="BR59" i="12"/>
  <c r="AJ126" i="12"/>
  <c r="AJ125" i="12"/>
  <c r="BW43" i="12"/>
  <c r="AR125" i="12"/>
  <c r="CD111" i="12"/>
  <c r="CD42" i="12"/>
  <c r="CD109" i="12"/>
  <c r="F114" i="12"/>
  <c r="F118" i="12"/>
  <c r="K114" i="12"/>
  <c r="K118" i="12"/>
  <c r="K126" i="12"/>
  <c r="CD56" i="12"/>
  <c r="BW104" i="12"/>
  <c r="CD55" i="12"/>
  <c r="O114" i="12"/>
  <c r="O118" i="12"/>
  <c r="V125" i="12"/>
  <c r="L125" i="12"/>
  <c r="L126" i="12"/>
  <c r="AY125" i="12"/>
  <c r="CD91" i="12"/>
  <c r="J125" i="12"/>
  <c r="J126" i="12"/>
  <c r="C126" i="12"/>
  <c r="C125" i="12"/>
  <c r="D114" i="12"/>
  <c r="D118" i="12"/>
  <c r="BT107" i="12"/>
  <c r="CD107" i="12"/>
  <c r="CA95" i="12"/>
  <c r="BQ114" i="12"/>
  <c r="AZ125" i="12"/>
  <c r="AZ126" i="12"/>
  <c r="BT112" i="12"/>
  <c r="CD112" i="12"/>
  <c r="AO126" i="12"/>
  <c r="AO125" i="12"/>
  <c r="AX126" i="12"/>
  <c r="AX125" i="12"/>
  <c r="CD106" i="12"/>
  <c r="BW96" i="12"/>
  <c r="BT102" i="12"/>
  <c r="F32" i="1"/>
  <c r="Q26" i="1"/>
  <c r="K8" i="31"/>
  <c r="E43" i="1"/>
  <c r="R43" i="1"/>
  <c r="S24" i="1"/>
  <c r="Q24" i="1"/>
  <c r="Q23" i="1"/>
  <c r="J23" i="1"/>
  <c r="J46" i="1"/>
  <c r="Q47" i="1"/>
  <c r="Q46" i="1"/>
  <c r="Q37" i="1"/>
  <c r="E27" i="1"/>
  <c r="Q56" i="1"/>
  <c r="Q45" i="1"/>
  <c r="Q73" i="1"/>
  <c r="AA126" i="12"/>
  <c r="AP126" i="12"/>
  <c r="CA114" i="12"/>
  <c r="BQ118" i="12"/>
  <c r="BQ125" i="12"/>
  <c r="CA118" i="12"/>
  <c r="Q114" i="12"/>
  <c r="Q118" i="12"/>
  <c r="Q125" i="12"/>
  <c r="Q122" i="12"/>
  <c r="H239" i="22"/>
  <c r="H237" i="22"/>
  <c r="K237" i="22"/>
  <c r="F238" i="22"/>
  <c r="H238" i="22"/>
  <c r="I238" i="22"/>
  <c r="F378" i="22"/>
  <c r="F379" i="22"/>
  <c r="CC43" i="12"/>
  <c r="BI114" i="12"/>
  <c r="BI118" i="12"/>
  <c r="BR41" i="12"/>
  <c r="BR30" i="12"/>
  <c r="BH45" i="12"/>
  <c r="BH114" i="12"/>
  <c r="CC30" i="12"/>
  <c r="BX17" i="12"/>
  <c r="BY17" i="12"/>
  <c r="BR17" i="12"/>
  <c r="CC21" i="12"/>
  <c r="BX21" i="12"/>
  <c r="C1051" i="29"/>
  <c r="I1051" i="29"/>
  <c r="H125" i="29"/>
  <c r="H1891" i="29"/>
  <c r="H1824" i="29"/>
  <c r="H1827" i="29"/>
  <c r="H1921" i="29"/>
  <c r="H1929" i="29"/>
  <c r="C1903" i="29"/>
  <c r="I1903" i="29"/>
  <c r="H1848" i="29"/>
  <c r="H1830" i="29"/>
  <c r="I1817" i="29"/>
  <c r="H1935" i="29"/>
  <c r="H448" i="29"/>
  <c r="C496" i="29"/>
  <c r="H496" i="29"/>
  <c r="H158" i="29"/>
  <c r="I1847" i="29"/>
  <c r="H1981" i="29"/>
  <c r="H1989" i="29"/>
  <c r="H1961" i="29"/>
  <c r="H1951" i="29"/>
  <c r="C1896" i="29"/>
  <c r="H1896" i="29"/>
  <c r="I1215" i="29"/>
  <c r="H1136" i="29"/>
  <c r="H1022" i="29"/>
  <c r="H413" i="29"/>
  <c r="H1838" i="29"/>
  <c r="H1052" i="29"/>
  <c r="I1864" i="29"/>
  <c r="H1953" i="29"/>
  <c r="H1979" i="29"/>
  <c r="I1983" i="29"/>
  <c r="H1987" i="29"/>
  <c r="I1991" i="29"/>
  <c r="I299" i="29"/>
  <c r="H1024" i="29"/>
  <c r="H908" i="29"/>
  <c r="H659" i="29"/>
  <c r="H943" i="29"/>
  <c r="C1835" i="29"/>
  <c r="H1872" i="29"/>
  <c r="H1605" i="29"/>
  <c r="I158" i="29"/>
  <c r="I125" i="29"/>
  <c r="I1838" i="29"/>
  <c r="H1832" i="29"/>
  <c r="H1806" i="29"/>
  <c r="I1927" i="29"/>
  <c r="H1864" i="29"/>
  <c r="H1919" i="29"/>
  <c r="H1949" i="29"/>
  <c r="H1969" i="29"/>
  <c r="I1973" i="29"/>
  <c r="H1975" i="29"/>
  <c r="H1964" i="29"/>
  <c r="I1905" i="29"/>
  <c r="H2014" i="29"/>
  <c r="I1413" i="29"/>
  <c r="H1967" i="29"/>
  <c r="C1749" i="29"/>
  <c r="I1749" i="29"/>
  <c r="H1798" i="29"/>
  <c r="E1821" i="29"/>
  <c r="I1821" i="29"/>
  <c r="H1701" i="29"/>
  <c r="I1883" i="29"/>
  <c r="H1874" i="29"/>
  <c r="I1870" i="29"/>
  <c r="H703" i="29"/>
  <c r="I1898" i="29"/>
  <c r="I1868" i="29"/>
  <c r="I1848" i="29"/>
  <c r="H1915" i="29"/>
  <c r="H1879" i="29"/>
  <c r="I1804" i="29"/>
  <c r="H1892" i="29"/>
  <c r="I202" i="29"/>
  <c r="I1798" i="29"/>
  <c r="H1906" i="29"/>
  <c r="I1946" i="29"/>
  <c r="E2018" i="29"/>
  <c r="I1803" i="29"/>
  <c r="H1653" i="29"/>
  <c r="I1872" i="29"/>
  <c r="I446" i="29"/>
  <c r="H297" i="29"/>
  <c r="H201" i="29"/>
  <c r="H1885" i="29"/>
  <c r="H1955" i="29"/>
  <c r="E1853" i="29"/>
  <c r="H1853" i="29"/>
  <c r="I1052" i="29"/>
  <c r="H1924" i="29"/>
  <c r="I1816" i="29"/>
  <c r="H1703" i="29"/>
  <c r="I535" i="29"/>
  <c r="I1827" i="29"/>
  <c r="I1906" i="29"/>
  <c r="I1217" i="29"/>
  <c r="I749" i="29"/>
  <c r="C1811" i="29"/>
  <c r="I1811" i="29"/>
  <c r="H1927" i="29"/>
  <c r="I496" i="29"/>
  <c r="H497" i="29"/>
  <c r="H1847" i="29"/>
  <c r="I943" i="29"/>
  <c r="C327" i="29"/>
  <c r="I327" i="29"/>
  <c r="C244" i="29"/>
  <c r="I244" i="29"/>
  <c r="I1265" i="29"/>
  <c r="H1835" i="29"/>
  <c r="H1881" i="29"/>
  <c r="I1509" i="29"/>
  <c r="I1461" i="29"/>
  <c r="I1366" i="29"/>
  <c r="H1215" i="29"/>
  <c r="H244" i="29"/>
  <c r="H1861" i="29"/>
  <c r="I1955" i="29"/>
  <c r="I1830" i="29"/>
  <c r="I1896" i="29"/>
  <c r="C1801" i="29"/>
  <c r="I1801" i="29"/>
  <c r="H1804" i="29"/>
  <c r="H1932" i="29"/>
  <c r="I1938" i="29"/>
  <c r="I1971" i="29"/>
  <c r="H1973" i="29"/>
  <c r="H1977" i="29"/>
  <c r="I1981" i="29"/>
  <c r="H1985" i="29"/>
  <c r="I1989" i="29"/>
  <c r="I1935" i="29"/>
  <c r="I1958" i="29"/>
  <c r="H1958" i="29"/>
  <c r="H299" i="29"/>
  <c r="H1912" i="29"/>
  <c r="I605" i="29"/>
  <c r="H1367" i="29"/>
  <c r="I1967" i="29"/>
  <c r="H1413" i="29"/>
  <c r="I1653" i="29"/>
  <c r="I1861" i="29"/>
  <c r="E1088" i="29"/>
  <c r="E1997" i="29"/>
  <c r="D786" i="29"/>
  <c r="H786" i="29"/>
  <c r="H1217" i="29"/>
  <c r="H1821" i="29"/>
  <c r="H1905" i="29"/>
  <c r="I659" i="29"/>
  <c r="I1701" i="29"/>
  <c r="H1883" i="29"/>
  <c r="I1874" i="29"/>
  <c r="I1557" i="29"/>
  <c r="H1461" i="29"/>
  <c r="H1366" i="29"/>
  <c r="H446" i="29"/>
  <c r="H372" i="29"/>
  <c r="I1885" i="29"/>
  <c r="I1891" i="29"/>
  <c r="I1929" i="29"/>
  <c r="I748" i="29"/>
  <c r="I1842" i="29"/>
  <c r="I1846" i="29"/>
  <c r="H1946" i="29"/>
  <c r="I1797" i="29"/>
  <c r="I1969" i="29"/>
  <c r="H1971" i="29"/>
  <c r="I1979" i="29"/>
  <c r="H1983" i="29"/>
  <c r="I1987" i="29"/>
  <c r="H1991" i="29"/>
  <c r="I1341" i="29"/>
  <c r="I1961" i="29"/>
  <c r="I1367" i="29"/>
  <c r="H327" i="29"/>
  <c r="H1903" i="29"/>
  <c r="E2009" i="29"/>
  <c r="H1811" i="29"/>
  <c r="F1997" i="29"/>
  <c r="F2002" i="29"/>
  <c r="G1997" i="29"/>
  <c r="G2004" i="29"/>
  <c r="G2008" i="29"/>
  <c r="I1881" i="29"/>
  <c r="H1797" i="29"/>
  <c r="I1022" i="29"/>
  <c r="H748" i="29"/>
  <c r="I413" i="29"/>
  <c r="I201" i="29"/>
  <c r="C1901" i="29"/>
  <c r="H1901" i="29"/>
  <c r="I1921" i="29"/>
  <c r="H1909" i="29"/>
  <c r="I1909" i="29"/>
  <c r="I297" i="29"/>
  <c r="I1915" i="29"/>
  <c r="I1879" i="29"/>
  <c r="I1605" i="29"/>
  <c r="I1919" i="29"/>
  <c r="I1941" i="29"/>
  <c r="H1846" i="29"/>
  <c r="I1949" i="29"/>
  <c r="I1953" i="29"/>
  <c r="I1975" i="29"/>
  <c r="I1977" i="29"/>
  <c r="I1985" i="29"/>
  <c r="I1964" i="29"/>
  <c r="H2012" i="29"/>
  <c r="I1815" i="29"/>
  <c r="I1901" i="29"/>
  <c r="D1997" i="29"/>
  <c r="I1932" i="29"/>
  <c r="I1924" i="29"/>
  <c r="I1912" i="29"/>
  <c r="I1824" i="29"/>
  <c r="I1292" i="29"/>
  <c r="I1136" i="29"/>
  <c r="I908" i="29"/>
  <c r="I372" i="29"/>
  <c r="I96" i="29"/>
  <c r="C2006" i="29"/>
  <c r="H1898" i="29"/>
  <c r="H1557" i="29"/>
  <c r="D2006" i="29"/>
  <c r="H605" i="29"/>
  <c r="H1870" i="29"/>
  <c r="H627" i="29"/>
  <c r="H535" i="29"/>
  <c r="H1265" i="29"/>
  <c r="H1938" i="29"/>
  <c r="C2018" i="29"/>
  <c r="H2018" i="29"/>
  <c r="H1815" i="29"/>
  <c r="I1835" i="29"/>
  <c r="H96" i="29"/>
  <c r="H1941" i="29"/>
  <c r="H1749" i="29"/>
  <c r="E2006" i="29"/>
  <c r="G40" i="34"/>
  <c r="G2002" i="29"/>
  <c r="G119" i="32"/>
  <c r="G123" i="32"/>
  <c r="G45" i="37"/>
  <c r="G2003" i="29"/>
  <c r="G45" i="35"/>
  <c r="G137" i="27"/>
  <c r="C2007" i="29"/>
  <c r="C38" i="34"/>
  <c r="I38" i="34"/>
  <c r="G141" i="27"/>
  <c r="S305" i="1"/>
  <c r="S306" i="1"/>
  <c r="C2003" i="29"/>
  <c r="C49" i="27"/>
  <c r="G49" i="27"/>
  <c r="G38" i="34"/>
  <c r="D9" i="27"/>
  <c r="C29" i="27"/>
  <c r="G29" i="27"/>
  <c r="E28" i="27"/>
  <c r="F28" i="27"/>
  <c r="F9" i="27"/>
  <c r="C46" i="27"/>
  <c r="G46" i="27"/>
  <c r="D2009" i="29"/>
  <c r="I2007" i="29"/>
  <c r="C143" i="27"/>
  <c r="G143" i="27"/>
  <c r="F43" i="34"/>
  <c r="F44" i="34"/>
  <c r="F136" i="27"/>
  <c r="F84" i="27"/>
  <c r="F83" i="27"/>
  <c r="T313" i="1"/>
  <c r="C31" i="27"/>
  <c r="G31" i="27"/>
  <c r="G43" i="34"/>
  <c r="G44" i="34"/>
  <c r="C18" i="27"/>
  <c r="G18" i="27"/>
  <c r="C87" i="27"/>
  <c r="G87" i="27"/>
  <c r="C100" i="27"/>
  <c r="G100" i="27"/>
  <c r="G48" i="35"/>
  <c r="G49" i="35"/>
  <c r="G48" i="37"/>
  <c r="G49" i="37"/>
  <c r="C68" i="27"/>
  <c r="G68" i="27"/>
  <c r="E67" i="27"/>
  <c r="C55" i="27"/>
  <c r="G55" i="27"/>
  <c r="E54" i="27"/>
  <c r="C136" i="27"/>
  <c r="G136" i="27"/>
  <c r="H31" i="22"/>
  <c r="K205" i="22"/>
  <c r="K198" i="22"/>
  <c r="Q48" i="1"/>
  <c r="H178" i="22"/>
  <c r="I178" i="22"/>
  <c r="BI125" i="12"/>
  <c r="BX45" i="12"/>
  <c r="CC45" i="12"/>
  <c r="BH118" i="12"/>
  <c r="I1853" i="29"/>
  <c r="H1051" i="29"/>
  <c r="H1801" i="29"/>
  <c r="F2004" i="29"/>
  <c r="F2008" i="29"/>
  <c r="C1997" i="29"/>
  <c r="I1997" i="29"/>
  <c r="I786" i="29"/>
  <c r="I1088" i="29"/>
  <c r="H1088" i="29"/>
  <c r="E2008" i="29"/>
  <c r="E2002" i="29"/>
  <c r="E2004" i="29"/>
  <c r="D2002" i="29"/>
  <c r="D2004" i="29"/>
  <c r="D2008" i="29"/>
  <c r="I2006" i="29"/>
  <c r="I2003" i="29"/>
  <c r="C2009" i="29"/>
  <c r="G43" i="35"/>
  <c r="G117" i="32"/>
  <c r="G43" i="37"/>
  <c r="C40" i="27"/>
  <c r="G40" i="27"/>
  <c r="C164" i="27"/>
  <c r="H12" i="27"/>
  <c r="H14" i="27"/>
  <c r="C67" i="27"/>
  <c r="G67" i="27"/>
  <c r="F150" i="27"/>
  <c r="E48" i="27"/>
  <c r="C48" i="27"/>
  <c r="G48" i="27"/>
  <c r="C54" i="27"/>
  <c r="G54" i="27"/>
  <c r="E9" i="27"/>
  <c r="C28" i="27"/>
  <c r="G28" i="27"/>
  <c r="I31" i="22"/>
  <c r="K31" i="22"/>
  <c r="BH125" i="12"/>
  <c r="C2008" i="29"/>
  <c r="I2008" i="29"/>
  <c r="H1997" i="29"/>
  <c r="C2004" i="29"/>
  <c r="I2004" i="29"/>
  <c r="C2002" i="29"/>
  <c r="I2002" i="29"/>
  <c r="F204" i="27"/>
  <c r="F205" i="27"/>
  <c r="F157" i="27"/>
  <c r="F169" i="27"/>
  <c r="E150" i="27"/>
  <c r="C9" i="27"/>
  <c r="E157" i="27"/>
  <c r="E163" i="27"/>
  <c r="E204" i="27"/>
  <c r="E205" i="27"/>
  <c r="E169" i="27"/>
  <c r="G9" i="27"/>
  <c r="O63" i="15"/>
  <c r="Q63" i="15"/>
  <c r="H434" i="24"/>
  <c r="BU74" i="12"/>
  <c r="BX44" i="12"/>
  <c r="BU73" i="12"/>
  <c r="I3184" i="24"/>
  <c r="H4033" i="24"/>
  <c r="H2550" i="24"/>
  <c r="CD98" i="12"/>
  <c r="BU18" i="12"/>
  <c r="BY18" i="12"/>
  <c r="H2437" i="24"/>
  <c r="CD96" i="12"/>
  <c r="H3604" i="24"/>
  <c r="BX87" i="12"/>
  <c r="BX29" i="12"/>
  <c r="BX47" i="12"/>
  <c r="BX82" i="12"/>
  <c r="H705" i="24"/>
  <c r="BX30" i="12"/>
  <c r="I2431" i="24"/>
  <c r="H2547" i="24"/>
  <c r="H2585" i="24"/>
  <c r="I704" i="24"/>
  <c r="C724" i="24"/>
  <c r="BU50" i="12"/>
  <c r="BU23" i="12"/>
  <c r="BX66" i="12"/>
  <c r="BX53" i="12"/>
  <c r="BX73" i="12"/>
  <c r="BX25" i="12"/>
  <c r="BU64" i="12"/>
  <c r="BX71" i="12"/>
  <c r="I191" i="24"/>
  <c r="I1456" i="24"/>
  <c r="I2472" i="24"/>
  <c r="I2669" i="24"/>
  <c r="I3149" i="24"/>
  <c r="I3027" i="24"/>
  <c r="BU30" i="12"/>
  <c r="BY30" i="12"/>
  <c r="BU20" i="12"/>
  <c r="BY20" i="12"/>
  <c r="H2431" i="24"/>
  <c r="BX67" i="12"/>
  <c r="BU40" i="12"/>
  <c r="BY40" i="12"/>
  <c r="H1456" i="24"/>
  <c r="I1969" i="24"/>
  <c r="I2211" i="24"/>
  <c r="I2440" i="24"/>
  <c r="I3114" i="24"/>
  <c r="I3895" i="24"/>
  <c r="H702" i="24"/>
  <c r="I2352" i="24"/>
  <c r="BU85" i="12"/>
  <c r="BU28" i="12"/>
  <c r="I318" i="24"/>
  <c r="I562" i="24"/>
  <c r="I675" i="24"/>
  <c r="I2538" i="24"/>
  <c r="BY43" i="12"/>
  <c r="BX36" i="12"/>
  <c r="BX24" i="12"/>
  <c r="BX27" i="12"/>
  <c r="BX60" i="12"/>
  <c r="BU62" i="12"/>
  <c r="H2957" i="24"/>
  <c r="BX52" i="12"/>
  <c r="H3429" i="24"/>
  <c r="BX22" i="12"/>
  <c r="H675" i="24"/>
  <c r="I1165" i="24"/>
  <c r="I2585" i="24"/>
  <c r="BX56" i="12"/>
  <c r="I2887" i="24"/>
  <c r="I2922" i="24"/>
  <c r="BX74" i="12"/>
  <c r="BX38" i="12"/>
  <c r="BY38" i="12"/>
  <c r="I2132" i="24"/>
  <c r="BX50" i="12"/>
  <c r="H3254" i="24"/>
  <c r="I3324" i="24"/>
  <c r="I3429" i="24"/>
  <c r="BU90" i="12"/>
  <c r="I724" i="24"/>
  <c r="H2887" i="24"/>
  <c r="BX33" i="12"/>
  <c r="F3560" i="24"/>
  <c r="BX31" i="12"/>
  <c r="BX32" i="12"/>
  <c r="I2957" i="24"/>
  <c r="BX63" i="12"/>
  <c r="I2992" i="24"/>
  <c r="I3860" i="24"/>
  <c r="I703" i="24"/>
  <c r="D49" i="37"/>
  <c r="D43" i="37"/>
  <c r="I43" i="37"/>
  <c r="H35" i="37"/>
  <c r="E49" i="37"/>
  <c r="E43" i="37"/>
  <c r="I35" i="37"/>
  <c r="H33" i="37"/>
  <c r="I29" i="37"/>
  <c r="H109" i="32"/>
  <c r="E117" i="32"/>
  <c r="E123" i="32"/>
  <c r="D123" i="32"/>
  <c r="D117" i="32"/>
  <c r="I109" i="32"/>
  <c r="C117" i="32"/>
  <c r="C123" i="32"/>
  <c r="H43" i="32"/>
  <c r="H68" i="32"/>
  <c r="H88" i="32"/>
  <c r="I27" i="32"/>
  <c r="I11" i="32"/>
  <c r="H77" i="32"/>
  <c r="I92" i="32"/>
  <c r="I117" i="32"/>
  <c r="H22" i="15"/>
  <c r="H21" i="15"/>
  <c r="K178" i="22"/>
  <c r="K60" i="15"/>
  <c r="G114" i="12"/>
  <c r="G118" i="12"/>
  <c r="G126" i="12"/>
  <c r="F126" i="12"/>
  <c r="F125" i="12"/>
  <c r="D150" i="27"/>
  <c r="D204" i="27"/>
  <c r="D205" i="27"/>
  <c r="C83" i="27"/>
  <c r="C84" i="27"/>
  <c r="G84" i="27"/>
  <c r="BX58" i="12"/>
  <c r="BU56" i="12"/>
  <c r="BU31" i="12"/>
  <c r="BY31" i="12"/>
  <c r="I3079" i="24"/>
  <c r="H1165" i="24"/>
  <c r="I2620" i="24"/>
  <c r="I3639" i="24"/>
  <c r="BU83" i="12"/>
  <c r="H318" i="24"/>
  <c r="BX88" i="12"/>
  <c r="H3027" i="24"/>
  <c r="H3359" i="24"/>
  <c r="I3930" i="24"/>
  <c r="BU32" i="12"/>
  <c r="I1264" i="24"/>
  <c r="H2669" i="24"/>
  <c r="BX57" i="12"/>
  <c r="BU117" i="12"/>
  <c r="BX79" i="12"/>
  <c r="H3079" i="24"/>
  <c r="BX75" i="12"/>
  <c r="I3534" i="24"/>
  <c r="H2817" i="24"/>
  <c r="I615" i="24"/>
  <c r="H2046" i="24"/>
  <c r="I919" i="24"/>
  <c r="H919" i="24"/>
  <c r="I1098" i="24"/>
  <c r="H1098" i="24"/>
  <c r="BX42" i="12"/>
  <c r="H2211" i="24"/>
  <c r="H2424" i="24"/>
  <c r="I2424" i="24"/>
  <c r="BU53" i="12"/>
  <c r="I2547" i="24"/>
  <c r="H3324" i="24"/>
  <c r="BU52" i="12"/>
  <c r="BY52" i="12"/>
  <c r="H2544" i="24"/>
  <c r="H3639" i="24"/>
  <c r="H998" i="24"/>
  <c r="H1264" i="24"/>
  <c r="BY23" i="12"/>
  <c r="H724" i="24"/>
  <c r="BX35" i="12"/>
  <c r="H1534" i="24"/>
  <c r="H1583" i="24"/>
  <c r="I1583" i="24"/>
  <c r="BU36" i="12"/>
  <c r="BY36" i="12"/>
  <c r="I2852" i="24"/>
  <c r="BU59" i="12"/>
  <c r="H2852" i="24"/>
  <c r="BU66" i="12"/>
  <c r="H3114" i="24"/>
  <c r="BU84" i="12"/>
  <c r="H3860" i="24"/>
  <c r="I1534" i="24"/>
  <c r="I3219" i="24"/>
  <c r="H2482" i="24"/>
  <c r="H2992" i="24"/>
  <c r="BY32" i="12"/>
  <c r="BY24" i="12"/>
  <c r="H2352" i="24"/>
  <c r="BU63" i="12"/>
  <c r="BY37" i="12"/>
  <c r="H2922" i="24"/>
  <c r="I3254" i="24"/>
  <c r="H114" i="12"/>
  <c r="H118" i="12"/>
  <c r="H125" i="12"/>
  <c r="D157" i="27"/>
  <c r="D163" i="27"/>
  <c r="Q36" i="1"/>
  <c r="Q217" i="1"/>
  <c r="P125" i="12"/>
  <c r="L23" i="22"/>
  <c r="Q42" i="1"/>
  <c r="Q157" i="1"/>
  <c r="Q68" i="1"/>
  <c r="Q39" i="1"/>
  <c r="S39" i="1"/>
  <c r="L24" i="22"/>
  <c r="BX114" i="12"/>
  <c r="C4161" i="24"/>
  <c r="I4000" i="24"/>
  <c r="H4000" i="24"/>
  <c r="I3569" i="24"/>
  <c r="H3569" i="24"/>
  <c r="BX62" i="12"/>
  <c r="H191" i="24"/>
  <c r="BX16" i="12"/>
  <c r="BX28" i="12"/>
  <c r="BY28" i="12"/>
  <c r="I3359" i="24"/>
  <c r="I3464" i="24"/>
  <c r="H3464" i="24"/>
  <c r="BU76" i="12"/>
  <c r="BX80" i="12"/>
  <c r="H4068" i="24"/>
  <c r="BX90" i="12"/>
  <c r="E4167" i="24"/>
  <c r="E4174" i="24"/>
  <c r="H2132" i="24"/>
  <c r="BX41" i="12"/>
  <c r="I3825" i="24"/>
  <c r="H3825" i="24"/>
  <c r="BU58" i="12"/>
  <c r="I2817" i="24"/>
  <c r="BX117" i="12"/>
  <c r="H4166" i="24"/>
  <c r="BX49" i="12"/>
  <c r="H2472" i="24"/>
  <c r="BX19" i="12"/>
  <c r="BY19" i="12"/>
  <c r="H474" i="24"/>
  <c r="H1780" i="24"/>
  <c r="I1780" i="24"/>
  <c r="D4161" i="24"/>
  <c r="I819" i="24"/>
  <c r="BX26" i="12"/>
  <c r="BY26" i="12"/>
  <c r="BU27" i="12"/>
  <c r="BY27" i="12"/>
  <c r="H880" i="24"/>
  <c r="I880" i="24"/>
  <c r="BU33" i="12"/>
  <c r="I1386" i="24"/>
  <c r="BU39" i="12"/>
  <c r="BY39" i="12"/>
  <c r="H1969" i="24"/>
  <c r="BU49" i="12"/>
  <c r="BU68" i="12"/>
  <c r="H3184" i="24"/>
  <c r="H3289" i="24"/>
  <c r="I3289" i="24"/>
  <c r="I3604" i="24"/>
  <c r="BU25" i="12"/>
  <c r="I765" i="24"/>
  <c r="H765" i="24"/>
  <c r="H1875" i="24"/>
  <c r="I1875" i="24"/>
  <c r="H3394" i="24"/>
  <c r="BU78" i="12"/>
  <c r="H3534" i="24"/>
  <c r="H3965" i="24"/>
  <c r="I3965" i="24"/>
  <c r="H2620" i="24"/>
  <c r="BU77" i="12"/>
  <c r="H3499" i="24"/>
  <c r="I3499" i="24"/>
  <c r="BX85" i="12"/>
  <c r="H3895" i="24"/>
  <c r="H3930" i="24"/>
  <c r="BX86" i="12"/>
  <c r="H3707" i="24"/>
  <c r="I3707" i="24"/>
  <c r="BJ125" i="12"/>
  <c r="CC118" i="12"/>
  <c r="BR127" i="12"/>
  <c r="AQ125" i="12"/>
  <c r="CC114" i="12"/>
  <c r="BU95" i="12"/>
  <c r="CC95" i="12"/>
  <c r="F33" i="20"/>
  <c r="F18" i="20"/>
  <c r="F28" i="20"/>
  <c r="E33" i="20"/>
  <c r="E18" i="20"/>
  <c r="E28" i="20"/>
  <c r="D18" i="20"/>
  <c r="D24" i="20"/>
  <c r="C27" i="20"/>
  <c r="K118" i="15"/>
  <c r="K13" i="15"/>
  <c r="K19" i="15"/>
  <c r="K15" i="15"/>
  <c r="J96" i="15"/>
  <c r="J141" i="15"/>
  <c r="I22" i="15"/>
  <c r="I144" i="15"/>
  <c r="I118" i="15"/>
  <c r="I131" i="15"/>
  <c r="K131" i="15"/>
  <c r="F22" i="15"/>
  <c r="K109" i="22"/>
  <c r="I109" i="22"/>
  <c r="K168" i="22"/>
  <c r="I168" i="22"/>
  <c r="I149" i="22"/>
  <c r="H139" i="22"/>
  <c r="I237" i="22"/>
  <c r="I91" i="22"/>
  <c r="H80" i="22"/>
  <c r="K238" i="22"/>
  <c r="I239" i="22"/>
  <c r="H220" i="22"/>
  <c r="I119" i="22"/>
  <c r="H248" i="22"/>
  <c r="H314" i="22"/>
  <c r="I254" i="22"/>
  <c r="H32" i="22"/>
  <c r="H179" i="22"/>
  <c r="G378" i="22"/>
  <c r="G379" i="22"/>
  <c r="I10" i="22"/>
  <c r="K222" i="22"/>
  <c r="H249" i="22"/>
  <c r="K249" i="22"/>
  <c r="K152" i="22"/>
  <c r="K111" i="22"/>
  <c r="K22" i="15"/>
  <c r="G125" i="12"/>
  <c r="D169" i="27"/>
  <c r="C150" i="27"/>
  <c r="G83" i="27"/>
  <c r="E4188" i="24"/>
  <c r="E4191" i="24"/>
  <c r="E4189" i="24"/>
  <c r="BI129" i="12"/>
  <c r="BX118" i="12"/>
  <c r="D4167" i="24"/>
  <c r="BU114" i="12"/>
  <c r="I4161" i="24"/>
  <c r="C4167" i="24"/>
  <c r="H4161" i="24"/>
  <c r="F32" i="20"/>
  <c r="F38" i="20"/>
  <c r="E32" i="20"/>
  <c r="E38" i="20"/>
  <c r="C18" i="20"/>
  <c r="D20" i="20"/>
  <c r="C24" i="20"/>
  <c r="I21" i="15"/>
  <c r="I130" i="15"/>
  <c r="K130" i="15"/>
  <c r="F21" i="15"/>
  <c r="K317" i="22"/>
  <c r="K314" i="22"/>
  <c r="I314" i="22"/>
  <c r="I249" i="22"/>
  <c r="K220" i="22"/>
  <c r="I220" i="22"/>
  <c r="I80" i="22"/>
  <c r="K80" i="22"/>
  <c r="M139" i="22"/>
  <c r="K139" i="22"/>
  <c r="I248" i="22"/>
  <c r="K248" i="22"/>
  <c r="I179" i="22"/>
  <c r="K179" i="22"/>
  <c r="H378" i="22"/>
  <c r="H379" i="22"/>
  <c r="I32" i="22"/>
  <c r="K32" i="22"/>
  <c r="I139" i="22"/>
  <c r="C169" i="27"/>
  <c r="C157" i="27"/>
  <c r="C163" i="27"/>
  <c r="G150" i="27"/>
  <c r="C155" i="27"/>
  <c r="C204" i="27"/>
  <c r="BU118" i="12"/>
  <c r="BY118" i="12"/>
  <c r="AR129" i="12"/>
  <c r="D4191" i="24"/>
  <c r="D4174" i="24"/>
  <c r="D4189" i="24"/>
  <c r="D4188" i="24"/>
  <c r="C4189" i="24"/>
  <c r="I4167" i="24"/>
  <c r="C4174" i="24"/>
  <c r="C4191" i="24"/>
  <c r="C4188" i="24"/>
  <c r="H4167" i="24"/>
  <c r="D28" i="20"/>
  <c r="C20" i="20"/>
  <c r="D33" i="20"/>
  <c r="K21" i="15"/>
  <c r="I141" i="15"/>
  <c r="K141" i="15"/>
  <c r="C33" i="20"/>
  <c r="D32" i="20"/>
  <c r="C28" i="20"/>
  <c r="D38" i="20"/>
  <c r="I312" i="15"/>
  <c r="J142" i="15"/>
  <c r="C38" i="20"/>
  <c r="C32" i="20"/>
  <c r="R258" i="1"/>
  <c r="S258" i="1"/>
  <c r="Q287" i="1"/>
  <c r="R287" i="1"/>
  <c r="R282" i="1"/>
  <c r="R264" i="1"/>
  <c r="S264" i="1"/>
  <c r="H126" i="12"/>
  <c r="Q186" i="1"/>
  <c r="Q225" i="1"/>
  <c r="E230" i="1"/>
  <c r="Q50" i="1"/>
  <c r="R50" i="1"/>
  <c r="T240" i="1"/>
  <c r="H386" i="22"/>
  <c r="H387" i="22"/>
  <c r="Q261" i="1"/>
  <c r="O240" i="1"/>
  <c r="T106" i="1"/>
  <c r="Q25" i="1"/>
  <c r="E266" i="1"/>
  <c r="R288" i="1"/>
  <c r="V167" i="1"/>
  <c r="R59" i="1"/>
  <c r="R283" i="1"/>
  <c r="R274" i="1"/>
  <c r="S274" i="1"/>
  <c r="R263" i="1"/>
  <c r="R228" i="1"/>
  <c r="E201" i="1"/>
  <c r="R201" i="1"/>
  <c r="R202" i="1"/>
  <c r="R188" i="1"/>
  <c r="R134" i="1"/>
  <c r="S134" i="1"/>
  <c r="R67" i="1"/>
  <c r="R46" i="1"/>
  <c r="E122" i="1"/>
  <c r="R123" i="1"/>
  <c r="S123" i="1"/>
  <c r="AT125" i="12"/>
  <c r="R116" i="1"/>
  <c r="Q254" i="1"/>
  <c r="R254" i="1"/>
  <c r="R196" i="1"/>
  <c r="R36" i="1"/>
  <c r="R265" i="1"/>
  <c r="S265" i="1"/>
  <c r="S169" i="1"/>
  <c r="R25" i="1"/>
  <c r="E239" i="1"/>
  <c r="R243" i="1"/>
  <c r="S243" i="1"/>
  <c r="Q214" i="1"/>
  <c r="R214" i="1"/>
  <c r="E126" i="1"/>
  <c r="O83" i="1"/>
  <c r="R23" i="1"/>
  <c r="S23" i="1"/>
  <c r="S94" i="1"/>
  <c r="E260" i="1"/>
  <c r="R260" i="1"/>
  <c r="S260" i="1"/>
  <c r="E100" i="1"/>
  <c r="R100" i="1"/>
  <c r="V88" i="1"/>
  <c r="T256" i="1"/>
  <c r="N118" i="1"/>
  <c r="V118" i="1"/>
  <c r="E267" i="1"/>
  <c r="R267" i="1"/>
  <c r="T123" i="12"/>
  <c r="R80" i="1"/>
  <c r="V246" i="1"/>
  <c r="M54" i="1"/>
  <c r="M55" i="1"/>
  <c r="V171" i="1"/>
  <c r="R208" i="1"/>
  <c r="R199" i="1"/>
  <c r="S199" i="1"/>
  <c r="R70" i="1"/>
  <c r="E69" i="1"/>
  <c r="R176" i="1"/>
  <c r="S176" i="1"/>
  <c r="R40" i="1"/>
  <c r="S40" i="1"/>
  <c r="R276" i="1"/>
  <c r="R92" i="1"/>
  <c r="R136" i="1"/>
  <c r="R144" i="1"/>
  <c r="S144" i="1"/>
  <c r="R244" i="1"/>
  <c r="S244" i="1"/>
  <c r="R22" i="1"/>
  <c r="R261" i="1"/>
  <c r="R245" i="1"/>
  <c r="S245" i="1"/>
  <c r="R149" i="1"/>
  <c r="R203" i="1"/>
  <c r="S203" i="1"/>
  <c r="R125" i="1"/>
  <c r="Q132" i="1"/>
  <c r="R27" i="1"/>
  <c r="N185" i="1"/>
  <c r="E251" i="1"/>
  <c r="S107" i="1"/>
  <c r="Q125" i="1"/>
  <c r="Q197" i="1"/>
  <c r="Q102" i="1"/>
  <c r="Q100" i="1"/>
  <c r="S100" i="1"/>
  <c r="Q258" i="1"/>
  <c r="Q245" i="1"/>
  <c r="S227" i="1"/>
  <c r="Q155" i="1"/>
  <c r="R155" i="1"/>
  <c r="R91" i="1"/>
  <c r="S91" i="1"/>
  <c r="J271" i="1"/>
  <c r="R262" i="1"/>
  <c r="S262" i="1"/>
  <c r="R232" i="1"/>
  <c r="R226" i="1"/>
  <c r="Q130" i="1"/>
  <c r="R130" i="1"/>
  <c r="R87" i="1"/>
  <c r="S87" i="1"/>
  <c r="Q64" i="1"/>
  <c r="S64" i="1"/>
  <c r="Q79" i="1"/>
  <c r="R79" i="1"/>
  <c r="S79" i="1"/>
  <c r="R63" i="1"/>
  <c r="R179" i="1"/>
  <c r="R168" i="1"/>
  <c r="R162" i="1"/>
  <c r="R44" i="1"/>
  <c r="S44" i="1"/>
  <c r="R38" i="1"/>
  <c r="S38" i="1"/>
  <c r="R280" i="1"/>
  <c r="R99" i="1"/>
  <c r="R227" i="1"/>
  <c r="R211" i="1"/>
  <c r="S211" i="1"/>
  <c r="R204" i="1"/>
  <c r="K185" i="1"/>
  <c r="Q224" i="1"/>
  <c r="E95" i="1"/>
  <c r="R95" i="1"/>
  <c r="R96" i="1"/>
  <c r="R78" i="1"/>
  <c r="R209" i="1"/>
  <c r="S97" i="1"/>
  <c r="T158" i="1"/>
  <c r="Q218" i="1"/>
  <c r="Q116" i="1"/>
  <c r="I127" i="1"/>
  <c r="I128" i="1"/>
  <c r="T14" i="1"/>
  <c r="R192" i="1"/>
  <c r="S192" i="1"/>
  <c r="R52" i="1"/>
  <c r="S52" i="1"/>
  <c r="Q58" i="1"/>
  <c r="I13" i="1"/>
  <c r="Q60" i="1"/>
  <c r="L185" i="1"/>
  <c r="G185" i="1"/>
  <c r="J205" i="1"/>
  <c r="F145" i="1"/>
  <c r="Q182" i="1"/>
  <c r="R275" i="1"/>
  <c r="R223" i="1"/>
  <c r="R195" i="1"/>
  <c r="R47" i="1"/>
  <c r="S47" i="1"/>
  <c r="S60" i="1"/>
  <c r="Q193" i="1"/>
  <c r="T103" i="1"/>
  <c r="T251" i="1"/>
  <c r="T84" i="1"/>
  <c r="R210" i="1"/>
  <c r="R26" i="1"/>
  <c r="S121" i="1"/>
  <c r="S237" i="1"/>
  <c r="S37" i="1"/>
  <c r="Y114" i="12"/>
  <c r="Y118" i="12"/>
  <c r="BR95" i="12"/>
  <c r="BR19" i="12"/>
  <c r="BR21" i="12"/>
  <c r="W21" i="12"/>
  <c r="W114" i="12"/>
  <c r="W118" i="12"/>
  <c r="S273" i="1"/>
  <c r="V13" i="1"/>
  <c r="Q236" i="1"/>
  <c r="S256" i="1"/>
  <c r="E247" i="1"/>
  <c r="E246" i="1"/>
  <c r="R246" i="1"/>
  <c r="Q89" i="1"/>
  <c r="S89" i="1"/>
  <c r="E14" i="1"/>
  <c r="S20" i="1"/>
  <c r="S57" i="1"/>
  <c r="V17" i="1"/>
  <c r="N13" i="1"/>
  <c r="Q75" i="1"/>
  <c r="Q204" i="1"/>
  <c r="T66" i="1"/>
  <c r="V66" i="1"/>
  <c r="V234" i="1"/>
  <c r="J234" i="1"/>
  <c r="R234" i="1"/>
  <c r="T221" i="1"/>
  <c r="P219" i="1"/>
  <c r="T219" i="1"/>
  <c r="P184" i="1"/>
  <c r="T191" i="1"/>
  <c r="F82" i="1"/>
  <c r="E90" i="1"/>
  <c r="R90" i="1"/>
  <c r="V200" i="1"/>
  <c r="O197" i="1"/>
  <c r="J220" i="1"/>
  <c r="J219" i="1"/>
  <c r="V220" i="1"/>
  <c r="Q281" i="1"/>
  <c r="S281" i="1"/>
  <c r="F14" i="1"/>
  <c r="O258" i="1"/>
  <c r="V258" i="1"/>
  <c r="O260" i="1"/>
  <c r="T263" i="1"/>
  <c r="T30" i="1"/>
  <c r="P27" i="1"/>
  <c r="T27" i="1"/>
  <c r="P28" i="1"/>
  <c r="T28" i="1"/>
  <c r="S26" i="1"/>
  <c r="S186" i="1"/>
  <c r="J270" i="1"/>
  <c r="S113" i="1"/>
  <c r="Q149" i="1"/>
  <c r="Q148" i="1"/>
  <c r="V180" i="1"/>
  <c r="S125" i="1"/>
  <c r="E242" i="1"/>
  <c r="R242" i="1"/>
  <c r="V117" i="1"/>
  <c r="J88" i="1"/>
  <c r="Q160" i="1"/>
  <c r="Q260" i="1"/>
  <c r="N271" i="1"/>
  <c r="P127" i="1"/>
  <c r="P128" i="1"/>
  <c r="S249" i="1"/>
  <c r="Q211" i="1"/>
  <c r="S275" i="1"/>
  <c r="Q288" i="1"/>
  <c r="S282" i="1"/>
  <c r="S261" i="1"/>
  <c r="S177" i="1"/>
  <c r="F88" i="1"/>
  <c r="K145" i="1"/>
  <c r="K289" i="1"/>
  <c r="J179" i="1"/>
  <c r="K178" i="1"/>
  <c r="O53" i="1"/>
  <c r="T53" i="1"/>
  <c r="V56" i="1"/>
  <c r="G83" i="1"/>
  <c r="Q31" i="1"/>
  <c r="S31" i="1"/>
  <c r="V190" i="1"/>
  <c r="J190" i="1"/>
  <c r="J184" i="1"/>
  <c r="N184" i="1"/>
  <c r="O184" i="1"/>
  <c r="P146" i="1"/>
  <c r="P147" i="1"/>
  <c r="S36" i="1"/>
  <c r="E270" i="1"/>
  <c r="E32" i="1"/>
  <c r="S25" i="1"/>
  <c r="O54" i="1"/>
  <c r="J212" i="1"/>
  <c r="Q229" i="1"/>
  <c r="S155" i="1"/>
  <c r="Q241" i="1"/>
  <c r="S216" i="1"/>
  <c r="Q172" i="1"/>
  <c r="S172" i="1"/>
  <c r="S124" i="1"/>
  <c r="E13" i="1"/>
  <c r="J240" i="1"/>
  <c r="T175" i="1"/>
  <c r="V175" i="1"/>
  <c r="Q151" i="1"/>
  <c r="S151" i="1"/>
  <c r="E178" i="1"/>
  <c r="J266" i="1"/>
  <c r="Q269" i="1"/>
  <c r="Q266" i="1"/>
  <c r="K127" i="1"/>
  <c r="K128" i="1"/>
  <c r="F127" i="1"/>
  <c r="F128" i="1"/>
  <c r="E153" i="1"/>
  <c r="F150" i="1"/>
  <c r="F146" i="1"/>
  <c r="F147" i="1"/>
  <c r="J65" i="1"/>
  <c r="Q65" i="1"/>
  <c r="V65" i="1"/>
  <c r="O270" i="1"/>
  <c r="V270" i="1"/>
  <c r="O271" i="1"/>
  <c r="V271" i="1"/>
  <c r="AQ126" i="12"/>
  <c r="S223" i="1"/>
  <c r="Q67" i="1"/>
  <c r="S67" i="1"/>
  <c r="J82" i="1"/>
  <c r="Q243" i="1"/>
  <c r="Q239" i="1"/>
  <c r="H289" i="1"/>
  <c r="Q119" i="1"/>
  <c r="Q118" i="1"/>
  <c r="T119" i="1"/>
  <c r="J239" i="1"/>
  <c r="S255" i="1"/>
  <c r="Q255" i="1"/>
  <c r="J260" i="1"/>
  <c r="J259" i="1"/>
  <c r="Q248" i="1"/>
  <c r="Q247" i="1"/>
  <c r="J247" i="1"/>
  <c r="Q174" i="1"/>
  <c r="V244" i="1"/>
  <c r="N240" i="1"/>
  <c r="V240" i="1"/>
  <c r="V154" i="1"/>
  <c r="V149" i="1"/>
  <c r="O148" i="1"/>
  <c r="O145" i="1"/>
  <c r="T145" i="1"/>
  <c r="T196" i="1"/>
  <c r="O32" i="1"/>
  <c r="V45" i="1"/>
  <c r="O43" i="1"/>
  <c r="S285" i="1"/>
  <c r="S224" i="1"/>
  <c r="Q15" i="1"/>
  <c r="S15" i="1"/>
  <c r="J225" i="1"/>
  <c r="F54" i="1"/>
  <c r="F55" i="1"/>
  <c r="E197" i="1"/>
  <c r="Q173" i="1"/>
  <c r="S173" i="1"/>
  <c r="Q168" i="1"/>
  <c r="Q167" i="1"/>
  <c r="S167" i="1"/>
  <c r="J33" i="1"/>
  <c r="Q35" i="1"/>
  <c r="S35" i="1"/>
  <c r="K83" i="1"/>
  <c r="F83" i="1"/>
  <c r="V205" i="1"/>
  <c r="T32" i="1"/>
  <c r="E75" i="1"/>
  <c r="R75" i="1"/>
  <c r="S115" i="1"/>
  <c r="Q51" i="1"/>
  <c r="K13" i="1"/>
  <c r="T69" i="1"/>
  <c r="Q278" i="1"/>
  <c r="S278" i="1"/>
  <c r="J251" i="1"/>
  <c r="S63" i="1"/>
  <c r="I33" i="1"/>
  <c r="T258" i="1"/>
  <c r="Q136" i="1"/>
  <c r="S136" i="1"/>
  <c r="G13" i="1"/>
  <c r="Q124" i="1"/>
  <c r="Q117" i="1"/>
  <c r="V141" i="1"/>
  <c r="T212" i="1"/>
  <c r="Q191" i="1"/>
  <c r="S191" i="1"/>
  <c r="Q22" i="1"/>
  <c r="Q21" i="1"/>
  <c r="S50" i="1"/>
  <c r="I289" i="1"/>
  <c r="M289" i="1"/>
  <c r="J246" i="1"/>
  <c r="H54" i="1"/>
  <c r="H55" i="1"/>
  <c r="G33" i="1"/>
  <c r="M185" i="1"/>
  <c r="H185" i="1"/>
  <c r="F185" i="1"/>
  <c r="T246" i="1"/>
  <c r="T201" i="1"/>
  <c r="L83" i="1"/>
  <c r="T171" i="1"/>
  <c r="S131" i="1"/>
  <c r="Q78" i="1"/>
  <c r="S78" i="1"/>
  <c r="Q66" i="1"/>
  <c r="S66" i="1"/>
  <c r="S68" i="1"/>
  <c r="Q62" i="1"/>
  <c r="S62" i="1"/>
  <c r="Q27" i="1"/>
  <c r="S27" i="1"/>
  <c r="Q105" i="1"/>
  <c r="S105" i="1"/>
  <c r="S218" i="1"/>
  <c r="Q19" i="1"/>
  <c r="S19" i="1"/>
  <c r="S235" i="1"/>
  <c r="V208" i="1"/>
  <c r="Q194" i="1"/>
  <c r="S130" i="1"/>
  <c r="S193" i="1"/>
  <c r="S58" i="1"/>
  <c r="S75" i="1"/>
  <c r="S42" i="1"/>
  <c r="Q158" i="1"/>
  <c r="Q283" i="1"/>
  <c r="S283" i="1"/>
  <c r="Q34" i="1"/>
  <c r="S34" i="1"/>
  <c r="V145" i="1"/>
  <c r="BH126" i="12"/>
  <c r="J32" i="1"/>
  <c r="E271" i="1"/>
  <c r="E33" i="1"/>
  <c r="Q80" i="1"/>
  <c r="S80" i="1"/>
  <c r="S46" i="1"/>
  <c r="Q18" i="1"/>
  <c r="Q17" i="1"/>
  <c r="S17" i="1"/>
  <c r="S229" i="1"/>
  <c r="S29" i="1"/>
  <c r="L289" i="1"/>
  <c r="Q212" i="1"/>
  <c r="E28" i="1"/>
  <c r="E219" i="1"/>
  <c r="R219" i="1"/>
  <c r="S132" i="1"/>
  <c r="E212" i="1"/>
  <c r="R212" i="1"/>
  <c r="S157" i="1"/>
  <c r="J14" i="1"/>
  <c r="S61" i="1"/>
  <c r="T125" i="12"/>
  <c r="Q28" i="1"/>
  <c r="J68" i="31"/>
  <c r="S288" i="1"/>
  <c r="S280" i="1"/>
  <c r="L146" i="1"/>
  <c r="G146" i="1"/>
  <c r="G147" i="1"/>
  <c r="V178" i="1"/>
  <c r="S160" i="1"/>
  <c r="S286" i="1"/>
  <c r="Q74" i="1"/>
  <c r="Q72" i="1"/>
  <c r="J72" i="1"/>
  <c r="J53" i="1"/>
  <c r="S56" i="1"/>
  <c r="S162" i="1"/>
  <c r="Q161" i="1"/>
  <c r="S161" i="1"/>
  <c r="Q129" i="1"/>
  <c r="J126" i="1"/>
  <c r="E53" i="1"/>
  <c r="R53" i="1"/>
  <c r="V53" i="1"/>
  <c r="N289" i="1"/>
  <c r="E240" i="1"/>
  <c r="R240" i="1"/>
  <c r="S242" i="1"/>
  <c r="Q242" i="1"/>
  <c r="Q240" i="1"/>
  <c r="S202" i="1"/>
  <c r="T83" i="1"/>
  <c r="J118" i="1"/>
  <c r="S133" i="1"/>
  <c r="F289" i="1"/>
  <c r="S106" i="1"/>
  <c r="Q112" i="1"/>
  <c r="S201" i="1"/>
  <c r="E231" i="1"/>
  <c r="J158" i="1"/>
  <c r="R158" i="1"/>
  <c r="J145" i="1"/>
  <c r="S159" i="1"/>
  <c r="N83" i="1"/>
  <c r="V83" i="1"/>
  <c r="V109" i="1"/>
  <c r="I83" i="1"/>
  <c r="I146" i="1"/>
  <c r="I147" i="1"/>
  <c r="J141" i="1"/>
  <c r="Q142" i="1"/>
  <c r="Q141" i="1"/>
  <c r="Q111" i="1"/>
  <c r="Q109" i="1"/>
  <c r="E109" i="1"/>
  <c r="O127" i="1"/>
  <c r="V138" i="1"/>
  <c r="T138" i="1"/>
  <c r="O146" i="1"/>
  <c r="Q259" i="1"/>
  <c r="E250" i="1"/>
  <c r="R250" i="1"/>
  <c r="S252" i="1"/>
  <c r="Q205" i="1"/>
  <c r="S30" i="1"/>
  <c r="T100" i="1"/>
  <c r="V100" i="1"/>
  <c r="I185" i="1"/>
  <c r="Q267" i="1"/>
  <c r="P271" i="1"/>
  <c r="T279" i="1"/>
  <c r="T17" i="1"/>
  <c r="P13" i="1"/>
  <c r="G289" i="1"/>
  <c r="S241" i="1"/>
  <c r="Q43" i="1"/>
  <c r="S204" i="1"/>
  <c r="T247" i="1"/>
  <c r="V247" i="1"/>
  <c r="M146" i="1"/>
  <c r="K146" i="1"/>
  <c r="Q276" i="1"/>
  <c r="S263" i="1"/>
  <c r="Q232" i="1"/>
  <c r="S226" i="1"/>
  <c r="E225" i="1"/>
  <c r="J69" i="1"/>
  <c r="Q70" i="1"/>
  <c r="Q69" i="1"/>
  <c r="J148" i="1"/>
  <c r="R148" i="1"/>
  <c r="J164" i="1"/>
  <c r="R164" i="1"/>
  <c r="Q165" i="1"/>
  <c r="Q164" i="1"/>
  <c r="Q152" i="1"/>
  <c r="J150" i="1"/>
  <c r="Q156" i="1"/>
  <c r="Q154" i="1"/>
  <c r="S154" i="1"/>
  <c r="J103" i="1"/>
  <c r="R103" i="1"/>
  <c r="Q104" i="1"/>
  <c r="Q103" i="1"/>
  <c r="J95" i="1"/>
  <c r="Q96" i="1"/>
  <c r="Q95" i="1"/>
  <c r="L22" i="22"/>
  <c r="BI123" i="12"/>
  <c r="BI124" i="12"/>
  <c r="Q188" i="1"/>
  <c r="S188" i="1"/>
  <c r="F118" i="1"/>
  <c r="P185" i="1"/>
  <c r="S73" i="1"/>
  <c r="E72" i="1"/>
  <c r="Q41" i="1"/>
  <c r="J21" i="1"/>
  <c r="R21" i="1"/>
  <c r="Q209" i="1"/>
  <c r="Q208" i="1"/>
  <c r="S208" i="1"/>
  <c r="E184" i="1"/>
  <c r="Q277" i="1"/>
  <c r="S277" i="1"/>
  <c r="J117" i="1"/>
  <c r="Q92" i="1"/>
  <c r="S110" i="1"/>
  <c r="Q137" i="1"/>
  <c r="P54" i="1"/>
  <c r="H146" i="1"/>
  <c r="S101" i="1"/>
  <c r="Q179" i="1"/>
  <c r="Q178" i="1"/>
  <c r="J178" i="1"/>
  <c r="S163" i="1"/>
  <c r="Q284" i="1"/>
  <c r="S284" i="1"/>
  <c r="S99" i="1"/>
  <c r="E135" i="1"/>
  <c r="R135" i="1"/>
  <c r="T266" i="1"/>
  <c r="Q222" i="1"/>
  <c r="S48" i="1"/>
  <c r="E205" i="1"/>
  <c r="R205" i="1"/>
  <c r="R190" i="1"/>
  <c r="R126" i="1"/>
  <c r="S109" i="1"/>
  <c r="R109" i="1"/>
  <c r="S118" i="1"/>
  <c r="R28" i="1"/>
  <c r="S28" i="1"/>
  <c r="E145" i="1"/>
  <c r="R153" i="1"/>
  <c r="R32" i="1"/>
  <c r="R14" i="1"/>
  <c r="R247" i="1"/>
  <c r="S247" i="1"/>
  <c r="R239" i="1"/>
  <c r="S239" i="1"/>
  <c r="R220" i="1"/>
  <c r="E118" i="1"/>
  <c r="R118" i="1"/>
  <c r="R122" i="1"/>
  <c r="S122" i="1"/>
  <c r="J127" i="1"/>
  <c r="J128" i="1"/>
  <c r="R141" i="1"/>
  <c r="Q33" i="1"/>
  <c r="S33" i="1"/>
  <c r="S287" i="1"/>
  <c r="R33" i="1"/>
  <c r="E259" i="1"/>
  <c r="R259" i="1"/>
  <c r="R178" i="1"/>
  <c r="R270" i="1"/>
  <c r="J185" i="1"/>
  <c r="R69" i="1"/>
  <c r="S116" i="1"/>
  <c r="S102" i="1"/>
  <c r="R65" i="1"/>
  <c r="R184" i="1"/>
  <c r="F292" i="1"/>
  <c r="R72" i="1"/>
  <c r="S72" i="1"/>
  <c r="S149" i="1"/>
  <c r="R225" i="1"/>
  <c r="S225" i="1"/>
  <c r="T271" i="1"/>
  <c r="R271" i="1"/>
  <c r="R197" i="1"/>
  <c r="S197" i="1"/>
  <c r="R251" i="1"/>
  <c r="S254" i="1"/>
  <c r="R266" i="1"/>
  <c r="R117" i="1"/>
  <c r="S117" i="1"/>
  <c r="BR114" i="12"/>
  <c r="BR118" i="12"/>
  <c r="S65" i="1"/>
  <c r="V148" i="1"/>
  <c r="T148" i="1"/>
  <c r="T197" i="1"/>
  <c r="O185" i="1"/>
  <c r="V185" i="1"/>
  <c r="V197" i="1"/>
  <c r="J230" i="1"/>
  <c r="R230" i="1"/>
  <c r="J233" i="1"/>
  <c r="R233" i="1"/>
  <c r="Q234" i="1"/>
  <c r="Q233" i="1"/>
  <c r="Q231" i="1"/>
  <c r="S168" i="1"/>
  <c r="Q54" i="1"/>
  <c r="Q55" i="1"/>
  <c r="S96" i="1"/>
  <c r="Q13" i="1"/>
  <c r="Q190" i="1"/>
  <c r="S190" i="1"/>
  <c r="V32" i="1"/>
  <c r="O289" i="1"/>
  <c r="S174" i="1"/>
  <c r="S248" i="1"/>
  <c r="S266" i="1"/>
  <c r="Q171" i="1"/>
  <c r="S171" i="1"/>
  <c r="O259" i="1"/>
  <c r="T260" i="1"/>
  <c r="V260" i="1"/>
  <c r="T184" i="1"/>
  <c r="Q246" i="1"/>
  <c r="S119" i="1"/>
  <c r="S95" i="1"/>
  <c r="S209" i="1"/>
  <c r="S70" i="1"/>
  <c r="Q14" i="1"/>
  <c r="S14" i="1"/>
  <c r="S212" i="1"/>
  <c r="S18" i="1"/>
  <c r="Q153" i="1"/>
  <c r="Q145" i="1"/>
  <c r="S259" i="1"/>
  <c r="T270" i="1"/>
  <c r="V184" i="1"/>
  <c r="E88" i="1"/>
  <c r="R88" i="1"/>
  <c r="E82" i="1"/>
  <c r="Q90" i="1"/>
  <c r="Q82" i="1"/>
  <c r="T43" i="1"/>
  <c r="V43" i="1"/>
  <c r="O33" i="1"/>
  <c r="Q250" i="1"/>
  <c r="Q251" i="1"/>
  <c r="S269" i="1"/>
  <c r="O55" i="1"/>
  <c r="V55" i="1"/>
  <c r="V54" i="1"/>
  <c r="Q220" i="1"/>
  <c r="E150" i="1"/>
  <c r="S152" i="1"/>
  <c r="S43" i="1"/>
  <c r="L292" i="1"/>
  <c r="L307" i="1"/>
  <c r="L147" i="1"/>
  <c r="S129" i="1"/>
  <c r="Q270" i="1"/>
  <c r="S158" i="1"/>
  <c r="G292" i="1"/>
  <c r="G304" i="1"/>
  <c r="V146" i="1"/>
  <c r="O147" i="1"/>
  <c r="O292" i="1"/>
  <c r="T146" i="1"/>
  <c r="S141" i="1"/>
  <c r="S165" i="1"/>
  <c r="S232" i="1"/>
  <c r="K147" i="1"/>
  <c r="K292" i="1"/>
  <c r="K293" i="1"/>
  <c r="S179" i="1"/>
  <c r="F293" i="1"/>
  <c r="F307" i="1"/>
  <c r="N292" i="1"/>
  <c r="N293" i="1"/>
  <c r="S240" i="1"/>
  <c r="Q271" i="1"/>
  <c r="BR125" i="12"/>
  <c r="J146" i="1"/>
  <c r="S148" i="1"/>
  <c r="T13" i="1"/>
  <c r="P289" i="1"/>
  <c r="G301" i="1"/>
  <c r="Q126" i="1"/>
  <c r="Q135" i="1"/>
  <c r="Q127" i="1"/>
  <c r="Q128" i="1"/>
  <c r="S137" i="1"/>
  <c r="S205" i="1"/>
  <c r="E185" i="1"/>
  <c r="R185" i="1"/>
  <c r="H147" i="1"/>
  <c r="H292" i="1"/>
  <c r="S41" i="1"/>
  <c r="Q32" i="1"/>
  <c r="Q150" i="1"/>
  <c r="Q146" i="1"/>
  <c r="Q147" i="1"/>
  <c r="S164" i="1"/>
  <c r="M147" i="1"/>
  <c r="M292" i="1"/>
  <c r="S222" i="1"/>
  <c r="S111" i="1"/>
  <c r="I292" i="1"/>
  <c r="V289" i="1"/>
  <c r="N307" i="1"/>
  <c r="J13" i="1"/>
  <c r="Q53" i="1"/>
  <c r="BK127" i="1"/>
  <c r="S74" i="1"/>
  <c r="P55" i="1"/>
  <c r="T55" i="1"/>
  <c r="T54" i="1"/>
  <c r="P292" i="1"/>
  <c r="F304" i="1"/>
  <c r="F294" i="1"/>
  <c r="F297" i="1"/>
  <c r="S135" i="1"/>
  <c r="E127" i="1"/>
  <c r="R127" i="1"/>
  <c r="S178" i="1"/>
  <c r="S92" i="1"/>
  <c r="E54" i="1"/>
  <c r="S156" i="1"/>
  <c r="J54" i="1"/>
  <c r="J55" i="1"/>
  <c r="S69" i="1"/>
  <c r="S276" i="1"/>
  <c r="S267" i="1"/>
  <c r="G307" i="1"/>
  <c r="T127" i="1"/>
  <c r="O128" i="1"/>
  <c r="V127" i="1"/>
  <c r="S142" i="1"/>
  <c r="Q88" i="1"/>
  <c r="E83" i="1"/>
  <c r="R83" i="1"/>
  <c r="S126" i="1"/>
  <c r="J83" i="1"/>
  <c r="R145" i="1"/>
  <c r="Q230" i="1"/>
  <c r="E146" i="1"/>
  <c r="R150" i="1"/>
  <c r="R54" i="1"/>
  <c r="S251" i="1"/>
  <c r="E289" i="1"/>
  <c r="O296" i="1"/>
  <c r="R82" i="1"/>
  <c r="BR123" i="12"/>
  <c r="G293" i="1"/>
  <c r="G294" i="1"/>
  <c r="S270" i="1"/>
  <c r="T33" i="1"/>
  <c r="V33" i="1"/>
  <c r="S153" i="1"/>
  <c r="J231" i="1"/>
  <c r="S233" i="1"/>
  <c r="G297" i="1"/>
  <c r="S250" i="1"/>
  <c r="Q319" i="1"/>
  <c r="Q219" i="1"/>
  <c r="S82" i="1"/>
  <c r="O316" i="1"/>
  <c r="S230" i="1"/>
  <c r="Q185" i="1"/>
  <c r="N303" i="1"/>
  <c r="T185" i="1"/>
  <c r="S246" i="1"/>
  <c r="V259" i="1"/>
  <c r="T259" i="1"/>
  <c r="Q184" i="1"/>
  <c r="L293" i="1"/>
  <c r="L294" i="1"/>
  <c r="L304" i="1"/>
  <c r="L297" i="1"/>
  <c r="S150" i="1"/>
  <c r="E55" i="1"/>
  <c r="R55" i="1"/>
  <c r="S54" i="1"/>
  <c r="O304" i="1"/>
  <c r="O297" i="1"/>
  <c r="O293" i="1"/>
  <c r="O294" i="1"/>
  <c r="O307" i="1"/>
  <c r="P294" i="1"/>
  <c r="P304" i="1"/>
  <c r="P297" i="1"/>
  <c r="I297" i="1"/>
  <c r="I304" i="1"/>
  <c r="I307" i="1"/>
  <c r="I294" i="1"/>
  <c r="I293" i="1"/>
  <c r="H293" i="1"/>
  <c r="H304" i="1"/>
  <c r="H307" i="1"/>
  <c r="H294" i="1"/>
  <c r="H297" i="1"/>
  <c r="S53" i="1"/>
  <c r="S145" i="1"/>
  <c r="V147" i="1"/>
  <c r="T147" i="1"/>
  <c r="K297" i="1"/>
  <c r="K304" i="1"/>
  <c r="K294" i="1"/>
  <c r="M304" i="1"/>
  <c r="M294" i="1"/>
  <c r="M293" i="1"/>
  <c r="M307" i="1"/>
  <c r="M297" i="1"/>
  <c r="Q301" i="1"/>
  <c r="T289" i="1"/>
  <c r="T314" i="1"/>
  <c r="P293" i="1"/>
  <c r="P307" i="1"/>
  <c r="Q83" i="1"/>
  <c r="S88" i="1"/>
  <c r="E128" i="1"/>
  <c r="R128" i="1"/>
  <c r="S127" i="1"/>
  <c r="V128" i="1"/>
  <c r="T128" i="1"/>
  <c r="K307" i="1"/>
  <c r="R13" i="1"/>
  <c r="S13" i="1"/>
  <c r="J289" i="1"/>
  <c r="Q289" i="1"/>
  <c r="S32" i="1"/>
  <c r="S185" i="1"/>
  <c r="J292" i="1"/>
  <c r="J147" i="1"/>
  <c r="Q292" i="1"/>
  <c r="S271" i="1"/>
  <c r="N304" i="1"/>
  <c r="N297" i="1"/>
  <c r="N294" i="1"/>
  <c r="E147" i="1"/>
  <c r="R147" i="1"/>
  <c r="R146" i="1"/>
  <c r="S231" i="1"/>
  <c r="R231" i="1"/>
  <c r="E292" i="1"/>
  <c r="E304" i="1"/>
  <c r="R289" i="1"/>
  <c r="E297" i="1"/>
  <c r="E293" i="1"/>
  <c r="E307" i="1"/>
  <c r="S146" i="1"/>
  <c r="R292" i="1"/>
  <c r="Q307" i="1"/>
  <c r="Q293" i="1"/>
  <c r="Q294" i="1"/>
  <c r="Q297" i="1"/>
  <c r="Q304" i="1"/>
  <c r="S289" i="1"/>
  <c r="S290" i="1"/>
  <c r="J294" i="1"/>
  <c r="J297" i="1"/>
  <c r="J304" i="1"/>
  <c r="J293" i="1"/>
  <c r="J307" i="1"/>
  <c r="Q300" i="1"/>
  <c r="S83" i="1"/>
  <c r="E294" i="1"/>
  <c r="R293" i="1"/>
  <c r="R304" i="1"/>
  <c r="R294" i="1"/>
  <c r="R297" i="1"/>
  <c r="CD101" i="12"/>
  <c r="CD104" i="12"/>
  <c r="CD97" i="12"/>
  <c r="CD24" i="12"/>
  <c r="CD63" i="12"/>
  <c r="CD105" i="12"/>
  <c r="BY123" i="12"/>
  <c r="BY124" i="12"/>
  <c r="CD100" i="12"/>
  <c r="CD35" i="12"/>
  <c r="CD28" i="12"/>
  <c r="CD36" i="12"/>
  <c r="CD49" i="12"/>
  <c r="CD102" i="12"/>
  <c r="CD108" i="12"/>
  <c r="CD67" i="12"/>
  <c r="CD78" i="12"/>
  <c r="CD110" i="12"/>
  <c r="CD43" i="12"/>
  <c r="CD103" i="12"/>
  <c r="CD60" i="12"/>
  <c r="CD76" i="12"/>
  <c r="BT71" i="12"/>
  <c r="CD27" i="12"/>
  <c r="BT65" i="12"/>
  <c r="CD75" i="12"/>
  <c r="CD73" i="12"/>
  <c r="BT45" i="12"/>
  <c r="CD47" i="12"/>
  <c r="BW47" i="12"/>
  <c r="BS48" i="12"/>
  <c r="BT72" i="12"/>
  <c r="CD72" i="12"/>
  <c r="BW19" i="12"/>
  <c r="CD19" i="12"/>
  <c r="CD23" i="12"/>
  <c r="BT23" i="12"/>
  <c r="BV45" i="12"/>
  <c r="BW45" i="12"/>
  <c r="BT68" i="12"/>
  <c r="CD68" i="12"/>
  <c r="BS21" i="12"/>
  <c r="CD20" i="12"/>
  <c r="BW20" i="12"/>
  <c r="CD89" i="12"/>
  <c r="BT89" i="12"/>
  <c r="BV66" i="12"/>
  <c r="BW66" i="12"/>
  <c r="BS86" i="12"/>
  <c r="BV82" i="12"/>
  <c r="BW82" i="12"/>
  <c r="BV88" i="12"/>
  <c r="BW88" i="12"/>
  <c r="CD74" i="12"/>
  <c r="BT16" i="12"/>
  <c r="CD25" i="12"/>
  <c r="CD50" i="12"/>
  <c r="BT66" i="12"/>
  <c r="BV83" i="12"/>
  <c r="BW83" i="12"/>
  <c r="BS92" i="12"/>
  <c r="BT70" i="12"/>
  <c r="CD70" i="12"/>
  <c r="BV31" i="12"/>
  <c r="BW31" i="12"/>
  <c r="CD116" i="12"/>
  <c r="CD33" i="12"/>
  <c r="CD81" i="12"/>
  <c r="CD26" i="12"/>
  <c r="CD53" i="12"/>
  <c r="CD38" i="12"/>
  <c r="BV80" i="12"/>
  <c r="BS69" i="12"/>
  <c r="BT85" i="12"/>
  <c r="CD85" i="12"/>
  <c r="CD58" i="12"/>
  <c r="CD64" i="12"/>
  <c r="CD39" i="12"/>
  <c r="BT17" i="12"/>
  <c r="BV84" i="12"/>
  <c r="BS57" i="12"/>
  <c r="BV18" i="12"/>
  <c r="BW18" i="12"/>
  <c r="BV30" i="12"/>
  <c r="BS31" i="12"/>
  <c r="CD41" i="12"/>
  <c r="BT41" i="12"/>
  <c r="BS93" i="12"/>
  <c r="BV87" i="12"/>
  <c r="CD88" i="12"/>
  <c r="CD18" i="12"/>
  <c r="BT93" i="12"/>
  <c r="CD93" i="12"/>
  <c r="BS46" i="12"/>
  <c r="BS99" i="12"/>
  <c r="CD30" i="12"/>
  <c r="BW30" i="12"/>
  <c r="BW84" i="12"/>
  <c r="CD84" i="12"/>
  <c r="BS32" i="12"/>
  <c r="BV59" i="12"/>
  <c r="BV62" i="12"/>
  <c r="BV61" i="12"/>
  <c r="BV22" i="12"/>
  <c r="BT69" i="12"/>
  <c r="CD69" i="12"/>
  <c r="BS77" i="12"/>
  <c r="BV51" i="12"/>
  <c r="BT92" i="12"/>
  <c r="BV37" i="12"/>
  <c r="CD83" i="12"/>
  <c r="CD66" i="12"/>
  <c r="CD45" i="12"/>
  <c r="BW87" i="12"/>
  <c r="CD87" i="12"/>
  <c r="CD31" i="12"/>
  <c r="BT31" i="12"/>
  <c r="BS44" i="12"/>
  <c r="CD57" i="12"/>
  <c r="BT57" i="12"/>
  <c r="BV54" i="12"/>
  <c r="BV92" i="12"/>
  <c r="BW92" i="12"/>
  <c r="CD80" i="12"/>
  <c r="BW80" i="12"/>
  <c r="BS94" i="12"/>
  <c r="BV29" i="12"/>
  <c r="BT86" i="12"/>
  <c r="CD86" i="12"/>
  <c r="BT21" i="12"/>
  <c r="CD82" i="12"/>
  <c r="BT48" i="12"/>
  <c r="CD48" i="12"/>
  <c r="BT46" i="12"/>
  <c r="BT124" i="12"/>
  <c r="BS95" i="12"/>
  <c r="CD46" i="12"/>
  <c r="BV16" i="12"/>
  <c r="BT94" i="12"/>
  <c r="CD94" i="12"/>
  <c r="BW37" i="12"/>
  <c r="CD37" i="12"/>
  <c r="BW51" i="12"/>
  <c r="CD51" i="12"/>
  <c r="BW61" i="12"/>
  <c r="CD61" i="12"/>
  <c r="BW59" i="12"/>
  <c r="CD59" i="12"/>
  <c r="CD54" i="12"/>
  <c r="BW54" i="12"/>
  <c r="BT44" i="12"/>
  <c r="CD44" i="12"/>
  <c r="CD92" i="12"/>
  <c r="BW29" i="12"/>
  <c r="CD29" i="12"/>
  <c r="BT77" i="12"/>
  <c r="CD77" i="12"/>
  <c r="CD22" i="12"/>
  <c r="BW22" i="12"/>
  <c r="BW62" i="12"/>
  <c r="CD62" i="12"/>
  <c r="BT32" i="12"/>
  <c r="CD32" i="12"/>
  <c r="BT99" i="12"/>
  <c r="CD99" i="12"/>
  <c r="BW16" i="12"/>
  <c r="CD16" i="12"/>
  <c r="BV21" i="12"/>
  <c r="BT95" i="12"/>
  <c r="BS114" i="12"/>
  <c r="CD95" i="12"/>
  <c r="BW21" i="12"/>
  <c r="BW124" i="12"/>
  <c r="CD21" i="12"/>
  <c r="BS118" i="12"/>
  <c r="BT114" i="12"/>
  <c r="BV114" i="12"/>
  <c r="BV118" i="12"/>
  <c r="BW118" i="12"/>
  <c r="BW114" i="12"/>
  <c r="BT118" i="12"/>
  <c r="CD114" i="12"/>
  <c r="CD118" i="12"/>
</calcChain>
</file>

<file path=xl/sharedStrings.xml><?xml version="1.0" encoding="utf-8"?>
<sst xmlns="http://schemas.openxmlformats.org/spreadsheetml/2006/main" count="5483" uniqueCount="3248">
  <si>
    <t>Додаткова дотація з державного бюджету місцевим бюджетам на забезпечення пальним станцій (відділень) екстреної, швидкої та невідкладної медичної допомоги</t>
  </si>
  <si>
    <t>Контроль</t>
  </si>
  <si>
    <t>Заходи державної політики з питань дітей та їх соціального захисту</t>
  </si>
  <si>
    <t>Фіксований податок на доходи фізичних осіб від зайняття підприємницькою діяльністю</t>
  </si>
  <si>
    <t>Податок на прибуток підприємств</t>
  </si>
  <si>
    <t>Код програмної класифікації видатків кредитування  місцевих бюджетів</t>
  </si>
  <si>
    <t>Код ФКВКБ</t>
  </si>
  <si>
    <t>0111</t>
  </si>
  <si>
    <t>1090</t>
  </si>
  <si>
    <t>0511</t>
  </si>
  <si>
    <t>0180</t>
  </si>
  <si>
    <t>1140</t>
  </si>
  <si>
    <t>0950</t>
  </si>
  <si>
    <t>0133</t>
  </si>
  <si>
    <t>1040</t>
  </si>
  <si>
    <t>0922</t>
  </si>
  <si>
    <t>1050</t>
  </si>
  <si>
    <t>Надання загальної середньої освіти загальноосвітніми школами-інтернатами для дітей-сиріт і дітей, позбавлених батьківського піклування</t>
  </si>
  <si>
    <t>1070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</si>
  <si>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</si>
  <si>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1080</t>
  </si>
  <si>
    <t>0960</t>
  </si>
  <si>
    <t>0930</t>
  </si>
  <si>
    <t>1120</t>
  </si>
  <si>
    <t>0941</t>
  </si>
  <si>
    <t>Гранти (дарунки), що надійшли до бюджетів усіх рівнів</t>
  </si>
  <si>
    <t xml:space="preserve">Збір за забруднення навколишнього  природного середовища </t>
  </si>
  <si>
    <t>Інші збори за забруднення навколишнього природного середовища до Фонду охорони навколишнього природного середовища</t>
  </si>
  <si>
    <t>Кошти, отримані від учасника-переможця процедури закупівлі під час укладання договору про закупівлю як забезпечення виконання цього договору, які не підлягають поверненню учаснику-переможцю</t>
  </si>
  <si>
    <t>0512</t>
  </si>
  <si>
    <t>9120</t>
  </si>
  <si>
    <t xml:space="preserve">Субвенція з державного бюджету місцевим бюджетам на здійснення заходів щодо соціально-економічного розвитку окремих територій </t>
  </si>
  <si>
    <t xml:space="preserve">Плата за ліцензії на право оптової торгівлі алкогольними напоями та тютюновими виробами </t>
  </si>
  <si>
    <t>Плата за ліцензії на право роздрібної торгівлі алкогольними напоями та тютюновими виробами</t>
  </si>
  <si>
    <t>Стабілізаційна дотація</t>
  </si>
  <si>
    <t>Дотації з обласного бюджету</t>
  </si>
  <si>
    <t>Субвенція з державного бюджету місцевим бюджетам на часткове фінансування дитячо-юнацьких спортивних шкіл, які до 2015 року отримували підтримку з Фонду соціального страхування з тимчасової втрати працездатності</t>
  </si>
  <si>
    <t>Встановлення телефонів інвалідам І і ІІ груп</t>
  </si>
  <si>
    <t>Рентна плата за користування  надрами  для видобування корисних копалин місцевого значення</t>
  </si>
  <si>
    <t>Інші податки та збори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</si>
  <si>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</si>
  <si>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</si>
  <si>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>Рентна плата за спеціальне використання води (крім рентної плати за спеціальне використання води водних об"єктів місцевого значення)</t>
  </si>
  <si>
    <t>Рентна плата за спеціальне використання води для потреб гідроенергетики</t>
  </si>
  <si>
    <t>Вишевицький сільський бюджет</t>
  </si>
  <si>
    <t>Народицький селищний бюджет</t>
  </si>
  <si>
    <t>Новоборівський селищний бюджет</t>
  </si>
  <si>
    <t>Доходи від операцій з капіталом</t>
  </si>
  <si>
    <t>Надходження від продажу основного капіталу</t>
  </si>
  <si>
    <t>Лугинський селищний бюджет</t>
  </si>
  <si>
    <t>Миропільський селищний бюджет</t>
  </si>
  <si>
    <t>Попільнянський селищний бюджет</t>
  </si>
  <si>
    <t xml:space="preserve">Хорошівський селищний бюджет </t>
  </si>
  <si>
    <t>Чоповицький селищний бюджет</t>
  </si>
  <si>
    <t>Барашівський сільський бюджет</t>
  </si>
  <si>
    <t>Білокоровицький сільський бюджет</t>
  </si>
  <si>
    <t>Бюджет м.Житомира</t>
  </si>
  <si>
    <t>Бюджет м.Малина</t>
  </si>
  <si>
    <t>Бюджет м.Новограда - Волинського</t>
  </si>
  <si>
    <t>Бюджет м.Коростеня</t>
  </si>
  <si>
    <t>Бюджет м.Бердичева</t>
  </si>
  <si>
    <t>Бюджет м.Новограда-Волинського</t>
  </si>
  <si>
    <t>Управління освіти і науки Житомирської обласної державної адміністрації</t>
  </si>
  <si>
    <t>Утримання та навчально-тренувальна робота комунальних дитячо-юнацьких спортивних шкіл</t>
  </si>
  <si>
    <t>Зміни обсягів бюджетних коштів</t>
  </si>
  <si>
    <t>Управління агропромислового розвитку Житомирської обласної державної адміністрації</t>
  </si>
  <si>
    <t>Управління інформаційної діяльності та комунікацій з громадськістю Житомирської обласної державної адміністрації</t>
  </si>
  <si>
    <t>Додаткова дотація з державного бюджету місцевим бюджетам на забезпечення виплат, пов"язаних із підвищенням рівня оплати праці працівників бюджетної сфери, в тому числі на підвищення посадового окладу працівника першого тарифного розряду Єдиної тарифної сі</t>
  </si>
  <si>
    <t>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(міст республіканського в Автономній Республіці Крим і обласного значення), районних у містах Києві і Севастополі та районних у містах рад для здійснення заходів з виконання спільного із Світовим банком проекту "Вдосконалення системи соціальної допомоги"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</si>
  <si>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</si>
  <si>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Житомирська обласна рада</t>
  </si>
  <si>
    <t>Житомирська обласна державна адміністрація</t>
  </si>
  <si>
    <t>Фінансування за рахунок зміни залишків коштів бюджетів</t>
  </si>
  <si>
    <t>Фінансова підтримка регіональних осередків всеукраїнських організацій фізкультурно-спортивної спрямованості у здійсненні фізкультурно-масових заходів серед населення регіону</t>
  </si>
  <si>
    <t>1115053</t>
  </si>
  <si>
    <t>5053</t>
  </si>
  <si>
    <t>Фінансова підтримка на утримання місцевих осередків (рад) всеукраїнських організацій фізкультурно-спортивної спрямованості</t>
  </si>
  <si>
    <t>Інші заходи з розвитку фізичної культури та спорту</t>
  </si>
  <si>
    <t>1115061</t>
  </si>
  <si>
    <t>5061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</si>
  <si>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здоров'я</t>
  </si>
  <si>
    <t>Загальний фонд</t>
  </si>
  <si>
    <t>Спеціальний фонд</t>
  </si>
  <si>
    <t>Разом</t>
  </si>
  <si>
    <t>Найменування згідно з класифікацією фінансування бюджету</t>
  </si>
  <si>
    <t xml:space="preserve">   Всього</t>
  </si>
  <si>
    <t>Назва місцевого бюджету адміністративно - територіальної одиниці</t>
  </si>
  <si>
    <t>Субвенції з обласного бюджету</t>
  </si>
  <si>
    <t>1060</t>
  </si>
  <si>
    <t>1150</t>
  </si>
  <si>
    <t>Підвищення кваліфікації, перепідготовка кадрів іншими закладами післядипломної освіти</t>
  </si>
  <si>
    <t>2010</t>
  </si>
  <si>
    <t>Багатопрофільна стаціонарна медична допомога населенню</t>
  </si>
  <si>
    <t>2030</t>
  </si>
  <si>
    <t>0732</t>
  </si>
  <si>
    <t>2050</t>
  </si>
  <si>
    <t>Додаток 1</t>
  </si>
  <si>
    <t>Плата за ліцензії та сертифікати, що сплачується ліцензіатами за місцем здійснення діяльності</t>
  </si>
  <si>
    <t>Утримання закладів, що надають соціальні послуги дітям, які опинились у складних життєвих обставинах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</si>
  <si>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</si>
  <si>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Власні надходження бюджетних установ </t>
  </si>
  <si>
    <t>Надходження від плати за послуги, що надаються бюджетними установами згідно із законодавством</t>
  </si>
  <si>
    <t>в т.ч. на:</t>
  </si>
  <si>
    <t>Малинський районний бюджет</t>
  </si>
  <si>
    <t>Народицький районний бюджет</t>
  </si>
  <si>
    <t>Призначення субвенції</t>
  </si>
  <si>
    <t>0100000</t>
  </si>
  <si>
    <t>0110000</t>
  </si>
  <si>
    <t>Разом по місцевих бюджетах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</si>
  <si>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</si>
  <si>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</si>
  <si>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</si>
  <si>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1113110</t>
  </si>
  <si>
    <t>Заклади і заходи з питань дітей та їх соціального захисту</t>
  </si>
  <si>
    <t>Охорона та раціональне використання природних ресурсів</t>
  </si>
  <si>
    <t>Утилізація відходів</t>
  </si>
  <si>
    <t>Додаток 1.1</t>
  </si>
  <si>
    <t>Місцевий бюджет з якого надається субвенція</t>
  </si>
  <si>
    <t>По відповідальних виконавцях</t>
  </si>
  <si>
    <t>Субвенція з державного бюджету місцевим бюджетам на придбання ангіографічного обладнання</t>
  </si>
  <si>
    <t>Субвенція з державного бюджету місцевим бюджетам на відшкодування вартості лікарських засобів для лікування окремих захворювань</t>
  </si>
  <si>
    <t>Додаток 5.1</t>
  </si>
  <si>
    <t>Баланс</t>
  </si>
  <si>
    <t>Здійснення соціальної роботи з вразливими категоріями населення</t>
  </si>
  <si>
    <t>Забезпечення соціальними послугами стаціонарного догляду з наданням місця для проживання, всебічної підтримки, захисту та безпеки особам, які не можуть вести самостійний спосіб життя через похилий вік, фізичні та розумові вади, психічні захворювання або інші хвороби</t>
  </si>
  <si>
    <t>видатки споживання</t>
  </si>
  <si>
    <t>видатки розвитку</t>
  </si>
  <si>
    <t>Кошти від відчуження майна, що належить Автономній Республіці Крим та майна, що перебуває в комунальній власності</t>
  </si>
  <si>
    <t>Червоненський селищний бюджет</t>
  </si>
  <si>
    <t>Субвенція на підготовку робітничих кадрів з державного бюджету місцевим бюджетам</t>
  </si>
  <si>
    <t>Горщиківський сільський бюджет</t>
  </si>
  <si>
    <t>Квітневий сільський бюджет</t>
  </si>
  <si>
    <t>Краснопільський сілський бюджет</t>
  </si>
  <si>
    <t>Семенівський сільський бюджет</t>
  </si>
  <si>
    <t>Станишівський сільський бюджет</t>
  </si>
  <si>
    <t>Ушомирський сільський бюджет</t>
  </si>
  <si>
    <t>Чижівський сільський бюджет</t>
  </si>
  <si>
    <t>Андрушківський сільський бюджет</t>
  </si>
  <si>
    <t xml:space="preserve">                                                                                                тис.грн.</t>
  </si>
  <si>
    <t xml:space="preserve">                                                                                                                                                                 </t>
  </si>
  <si>
    <t>Найменування згідно з класифікацією доходів бюджету</t>
  </si>
  <si>
    <t>в т. ч. бюджет розвитку</t>
  </si>
  <si>
    <t>Код програмної класифікації видатків кредитування місцевих бюджетів</t>
  </si>
  <si>
    <t>Субвенція з державного бюджету місцевим бюджетам на надання державної підтримки особам з особливими освітніми потребами</t>
  </si>
  <si>
    <t>Найменування місцевої (регіональної) програми</t>
  </si>
  <si>
    <t>Разом загальний та спеціальний фонди</t>
  </si>
  <si>
    <t>в т.ч. бюджет розвитку</t>
  </si>
  <si>
    <t>Загальний обсяг фінансування будівництва</t>
  </si>
  <si>
    <t>на реконструкцію чи капітальний ремонт житла</t>
  </si>
  <si>
    <t>на придбання житла</t>
  </si>
  <si>
    <t>Всього видатків на завершення будівництва об'єкту на майбутні роки</t>
  </si>
  <si>
    <t>житло дітям</t>
  </si>
  <si>
    <t>Збір за першу реєстрацію транспортного засобу</t>
  </si>
  <si>
    <t>Збір за першу реєстрацію колісних транспортних засобів (юридичних осіб)</t>
  </si>
  <si>
    <t>Збір за першу реєстрацію колісних транспортних засобів (фізичних осіб)</t>
  </si>
  <si>
    <t>Рентна плата та плата за використання інших природних ресурсів</t>
  </si>
  <si>
    <t xml:space="preserve">Рентна плата за спеціальне використання лісових ресурсів </t>
  </si>
  <si>
    <t xml:space="preserve">Рентна плата за спеціальне використання лісових ресурсів в частині деревини, заготовленої в порядку рубок головного користування </t>
  </si>
  <si>
    <t>Рентна плата за спеціальне використання води</t>
  </si>
  <si>
    <t>виконання депутатських повноважень</t>
  </si>
  <si>
    <t>Департамент фінансів Житомирської обласної державної адміністрації</t>
  </si>
  <si>
    <t>Спеціалізована стаціонарна медична допомога населенню</t>
  </si>
  <si>
    <t>0731</t>
  </si>
  <si>
    <t>0733</t>
  </si>
  <si>
    <t>2060</t>
  </si>
  <si>
    <t>0734</t>
  </si>
  <si>
    <t>2090</t>
  </si>
  <si>
    <t>0761</t>
  </si>
  <si>
    <t>Медико-соціальний захист дітей-сиріт і дітей, позбавлених батьківського піклування</t>
  </si>
  <si>
    <t>2100</t>
  </si>
  <si>
    <t>0762</t>
  </si>
  <si>
    <t>Створення банків крові та її компонентів</t>
  </si>
  <si>
    <t>0724</t>
  </si>
  <si>
    <t>Надання екстреної та швидкої медичної допомоги населенню</t>
  </si>
  <si>
    <t>2130</t>
  </si>
  <si>
    <t>0722</t>
  </si>
  <si>
    <t>Спеціалізована амбулаторно-поліклінічна допомога населенню</t>
  </si>
  <si>
    <t>2140</t>
  </si>
  <si>
    <t>капітальні видатки за рахунок коштів, що передаються із загального фонду до бюджету розвитку (спеціального фонду)</t>
  </si>
  <si>
    <t>Разом по бюджетах міст</t>
  </si>
  <si>
    <t>загальний фонд</t>
  </si>
  <si>
    <t>спеціальний фонд</t>
  </si>
  <si>
    <t>Місцевий бюджет якому надається субвенція</t>
  </si>
  <si>
    <t>на виконання депутатських повноважень</t>
  </si>
  <si>
    <t>Субвенція з державного бюджету місцевим бюджетам на проведення виборів депутатів місцевих рад та сільських, селищних, міських голів</t>
  </si>
  <si>
    <t>Від Європейського Союзу, урядів іноземних держав, міжнародних організацій, донорських установ</t>
  </si>
  <si>
    <t>Надходження від скидів забруднюючих речовин безпосередньо у водні об"єкти</t>
  </si>
  <si>
    <t xml:space="preserve">придбання медикаментів та виробів медичного призначення для забезпечення швидкої медичної допомоги </t>
  </si>
  <si>
    <t>Субвенція з державного бюджету місцевим бюджетам на часткове відшкодування вартості лікарських засобів для лікування осіб з гіпертонічною хворобою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</si>
  <si>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</si>
  <si>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7610</t>
  </si>
  <si>
    <t>Інші заходи, пов'язані з економічною діяльністю</t>
  </si>
  <si>
    <t>Цільові фонди</t>
  </si>
  <si>
    <t>Код</t>
  </si>
  <si>
    <t>Високівський сільський бюджет</t>
  </si>
  <si>
    <t>3200</t>
  </si>
  <si>
    <t>Соціальний захист ветеранів війни та праці</t>
  </si>
  <si>
    <t xml:space="preserve">                       Перший заступник голови ради</t>
  </si>
  <si>
    <t>З.Ф. ПЕРЕВІРКА : Додаток 5 =додатку 5.1.</t>
  </si>
  <si>
    <t>С.Ф. ПЕРЕВІРКА : Додаток 5 =додатку 5.1.</t>
  </si>
  <si>
    <t>Корнинський селищний бюджет</t>
  </si>
  <si>
    <t xml:space="preserve">Субвенція з державного бюджету місцевим бюджетам на надання пільг  з  послуг зв'язку, інших передбачених законодавством пільг (крім пільг на одержання ліків, зубопротезування, оплату електроенергії, природного і скрапленого газу на побутові потреби, твердого та рідкого пічного побутового палива, послуг тепло-, водопостачання і водовідведення,  квартирної плати (утримання будинків і споруд та прибудинкових територій), вивезення побутового сміття та рідких нечистот), на компенсацію втрати частини доходів у зв’язку з відміною податку з власників транспортних засобів та  інших самохідних машин і механізмів та відповідним збільшенням ставок акцизного податку з пального  і на компенсацію за пільговий проїзд окремих категорій  громадян 
</t>
  </si>
  <si>
    <t>Надання стоматологічної допомоги населенню</t>
  </si>
  <si>
    <t>0763</t>
  </si>
  <si>
    <t>Проведення належної медико-соціальної експертизи (МСЕК)</t>
  </si>
  <si>
    <t>Програми і централізовані заходи у галузі охорони здоров’я</t>
  </si>
  <si>
    <t>Програма і централізовані заходи профілактики ВІЛ-інфекції/СНІДу</t>
  </si>
  <si>
    <t>0824</t>
  </si>
  <si>
    <t>3050</t>
  </si>
  <si>
    <t>Пільгове медичне обслуговування осіб, які постраждали внаслідок Чорнобильської катастрофи</t>
  </si>
  <si>
    <t>3090</t>
  </si>
  <si>
    <t>1030</t>
  </si>
  <si>
    <t>3101</t>
  </si>
  <si>
    <t>1010</t>
  </si>
  <si>
    <t>Забезпечення соціальними послугами стаціонарного догляду з наданням місця для проживання дітей з вадами фізичного та розумового розвитку</t>
  </si>
  <si>
    <t>3102</t>
  </si>
  <si>
    <t>1020</t>
  </si>
  <si>
    <t>3103</t>
  </si>
  <si>
    <t>3105</t>
  </si>
  <si>
    <t>3220</t>
  </si>
  <si>
    <t>Забезпечення обробки інформації з нарахування та виплати допомог і компенсацій</t>
  </si>
  <si>
    <t>3112</t>
  </si>
  <si>
    <t>2400000</t>
  </si>
  <si>
    <t>2410000</t>
  </si>
  <si>
    <t>Заходи державної політики з питань сім'ї</t>
  </si>
  <si>
    <t>Проведення навчально-тренувальних зборів і змагань з олімпійських видів спорту</t>
  </si>
  <si>
    <t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</t>
  </si>
  <si>
    <t>Надходження від ввезення палива на митну територію України податковими агентами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</si>
  <si>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</si>
  <si>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</si>
  <si>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 комунальних унітарних підприємств та їх об"єднань, що вилучається до відповідного місцевого бюджету</t>
  </si>
  <si>
    <t>Плата за розміщення тимчасово вільних коштів місцевих бюджетів</t>
  </si>
  <si>
    <t>Авансові внески з податку на прибуток приватних підприємств</t>
  </si>
  <si>
    <t>Податки на власність</t>
  </si>
  <si>
    <t xml:space="preserve">Реконструкція футбольного поля та благоустрій території центрального стадіону по вул. Фещенка-Чопівського,18 в м.Житомирі </t>
  </si>
  <si>
    <t xml:space="preserve">Реконструкція приміщень обласної  клінічної лікарні ім. О.Ф. Гербачевського під відділення анестезіології та інтенсивної терапії для післяопераційних хворих, відділення неврології  з нейрореанімацією по вул.Червоного Хреста, 3 у м.Житомирі </t>
  </si>
  <si>
    <t>Проведення спортивної роботи в регіоні</t>
  </si>
  <si>
    <t>Від органів державного управління</t>
  </si>
  <si>
    <t xml:space="preserve">Кошти, що надходять за взаємними розрахунками між місцевими бюджетами  </t>
  </si>
  <si>
    <t>Базова дотація</t>
  </si>
  <si>
    <t>Надходження бюджетних установ від додаткової (господарської) діяльності</t>
  </si>
  <si>
    <t>Державний бюджет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</si>
  <si>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 Податковим кодексом України</t>
  </si>
  <si>
    <t>Ліквідація іншого забруднення навколишнього природного середовища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</si>
  <si>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</si>
  <si>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Всього доходів</t>
  </si>
  <si>
    <t>Плата за використання інших природних ресурсів</t>
  </si>
  <si>
    <t>Плата за спеціальне викоистання диких тварин</t>
  </si>
  <si>
    <t>Житомирський районний бюджет</t>
  </si>
  <si>
    <t>Додаткова дотація з державного бюджету місцевим бюджетам на виплату надбавок за обсяг та якість виконаної роботи медичним працівникам закладів охорони здоров’я, що надають первинну медичну допомогу, у непілотних регіонах</t>
  </si>
  <si>
    <t>Додаткова дотація з державного бюджету місцевим бюджетам на підвищення рівня матеріального забезпечення інвалідів І чи ІІ групи внаслідок психічного розладу</t>
  </si>
  <si>
    <t>Навчання та трудове влаштування інвалідів</t>
  </si>
  <si>
    <t>Нерозподілені трансферти</t>
  </si>
  <si>
    <t>Всього: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</si>
  <si>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державна або комунальна власність</t>
  </si>
  <si>
    <t>Податок на прибуток підприємств та фінансових установ комунальної власності</t>
  </si>
  <si>
    <t>Податок на прибуток приватних підприємств</t>
  </si>
  <si>
    <t>Авансові внески з податку на прибуток підприємств та фінансових установ комунальної власності</t>
  </si>
  <si>
    <t>Реалізація державної політики у молодіжній сфері</t>
  </si>
  <si>
    <t>Здійснення заходів та реалізація проектів на виконання Державної цільової соціальної програми «Молодь України»</t>
  </si>
  <si>
    <t>Розвиток дитячо-юнацького та резервного спорту</t>
  </si>
  <si>
    <t>1115050</t>
  </si>
  <si>
    <t>5050</t>
  </si>
  <si>
    <t>Підтримка фізкультурно-спортивного руху</t>
  </si>
  <si>
    <t>1115051</t>
  </si>
  <si>
    <t>5051</t>
  </si>
  <si>
    <t>Фінансова підтримка регіональних всеукраїнських організацій фізкультурно-спортивної спрямованості для проведення навчально-тренувальної та спортивної роботи</t>
  </si>
  <si>
    <t>1115052</t>
  </si>
  <si>
    <t>5052</t>
  </si>
  <si>
    <t>Хорошівський районний бюджет</t>
  </si>
  <si>
    <t>Пулинський районний бюджет</t>
  </si>
  <si>
    <t>Перший заступник голови обласної ради</t>
  </si>
  <si>
    <t>С.М. Крамаренко</t>
  </si>
  <si>
    <t>Надходження від сплати збору за забруднення навколишнього природного середовища фізичними особами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</si>
  <si>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</si>
  <si>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комунальні послуги та енергоносії</t>
  </si>
  <si>
    <t>Субвенція за рахунок залишку коштів освітньої субвенції з державного бюджету місцевим бюджетам, що утворився на початок бюджетного періоду</t>
  </si>
  <si>
    <t>Надання позашкільної освіти позашкільними закладами освіти, заходи із позашкільної роботи з дітьми</t>
  </si>
  <si>
    <t>1011120</t>
  </si>
  <si>
    <t>Олевський міський бюджет</t>
  </si>
  <si>
    <t>Надходження від орендної плати за користування цілісним майновим комплексом та іншим майном, що перебуває в комунальній власності</t>
  </si>
  <si>
    <t>Плата за надані в оренду ставки, що знаходяться в басейнах річок загальнодержавного значення</t>
  </si>
  <si>
    <t>Інші неподаткові надходження</t>
  </si>
  <si>
    <t>Інші надходження</t>
  </si>
  <si>
    <t>Субвенція з державного бюджету місцевим бюджетам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</t>
  </si>
  <si>
    <r>
      <t xml:space="preserve">Надходження для фінансового забезпечення реалізації заходів, визначених </t>
    </r>
    <r>
      <rPr>
        <b/>
        <i/>
        <sz val="12"/>
        <color indexed="12"/>
        <rFont val="Times New Roman"/>
        <family val="1"/>
        <charset val="204"/>
      </rPr>
      <t>пунктом 33 розділу VI "Прикінцеві та перехідні положення" Бюджетного кодексу України</t>
    </r>
    <r>
      <rPr>
        <b/>
        <i/>
        <sz val="12"/>
        <rFont val="Times New Roman"/>
        <family val="1"/>
        <charset val="204"/>
      </rPr>
      <t xml:space="preserve"> </t>
    </r>
  </si>
  <si>
    <t>Кошти, отримані місцевими бюджетами з державного бюджету</t>
  </si>
  <si>
    <t>Додаткова дотація з державного  бюджету місцевим бюджетам на оплату праці працівників бюджетних установ</t>
  </si>
  <si>
    <t>Субвенція з державного бюджету місцевим бюджетам на придбання медичного обладнання (мамографічного, рентгенологічного та апаратів ультразвукової діагностики) вітчизняного виробництва</t>
  </si>
  <si>
    <t>Лікарсько-акушерська допомога  вагітним, породіллям та новонародженим</t>
  </si>
  <si>
    <t>Видатки на поховання учасників бойових дій та інвалідів війни</t>
  </si>
  <si>
    <t>Сприяння розвитку малого та середнього підприємництва</t>
  </si>
  <si>
    <t xml:space="preserve">Розміщення бюджетних коштів на депозитах </t>
  </si>
  <si>
    <t>м.Попасна Луганської області</t>
  </si>
  <si>
    <t>м.Малин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</si>
  <si>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</si>
  <si>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</si>
  <si>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1115033</t>
  </si>
  <si>
    <t>5033</t>
  </si>
  <si>
    <t>1115060</t>
  </si>
  <si>
    <t>5060</t>
  </si>
  <si>
    <t>з них:</t>
  </si>
  <si>
    <t>Всього</t>
  </si>
  <si>
    <t>РАЗОМ</t>
  </si>
  <si>
    <t>Надходження коштів від відшкодування втрат сільськогосподарського і лісогосподарського виробництва</t>
  </si>
  <si>
    <t>Код ТПКВКМБ</t>
  </si>
  <si>
    <t>Найменування головного розпорядника, відповідального виконавця, бюджетної програми або напряму видатків згідно з типовою відомчою класифікацією/ТПКВКМБ</t>
  </si>
  <si>
    <t>Надходження від орендної плати за користування цілісним майновим комплексом та іншим державним майном</t>
  </si>
  <si>
    <t>Додаткова дотація з державного бюджету місцевим бюджетам на поліпшення умов оплати праці медпрацівників, які надають медичну допомогу хворим на заразну та активну форми туберкульозу</t>
  </si>
  <si>
    <t>оплата праці</t>
  </si>
  <si>
    <t>Брусилівський районний бюджет</t>
  </si>
  <si>
    <t>Романівський районний бюджет</t>
  </si>
  <si>
    <t>Ємільчинський районний бюджет</t>
  </si>
  <si>
    <t>Коростенський районний бюджет</t>
  </si>
  <si>
    <t>Коростишівський районний бюджет</t>
  </si>
  <si>
    <t>Лугинський районний бюджет</t>
  </si>
  <si>
    <t>Любарський районний бюджет</t>
  </si>
  <si>
    <t>Фінансування за борговими операціями</t>
  </si>
  <si>
    <t>Фінансування за активними операціями</t>
  </si>
  <si>
    <t>Всього за типом боргового зобов"язання</t>
  </si>
  <si>
    <t>Почуйківський сільський бюджет</t>
  </si>
  <si>
    <t>Овруцький міський бюджет</t>
  </si>
  <si>
    <t>Офіційні трансферти</t>
  </si>
  <si>
    <t>Кошти, що передаються із загального фонду бюджету до бюджету розвитку (спеціального фонду)</t>
  </si>
  <si>
    <t>Дубрівський сільський бюджет</t>
  </si>
  <si>
    <t>Іршанський селищний бюджет</t>
  </si>
  <si>
    <t>Тетерівський сільський бюджет</t>
  </si>
  <si>
    <t>Червоненський сільський бюджет</t>
  </si>
  <si>
    <t>Андрушівський районний бюджет</t>
  </si>
  <si>
    <t>Баранівський районний бюджет</t>
  </si>
  <si>
    <t>Бердичівський районний бюджет</t>
  </si>
  <si>
    <t>На початок періоду</t>
  </si>
  <si>
    <t>На кінець періоду</t>
  </si>
  <si>
    <t>Всього за типом кредитора</t>
  </si>
  <si>
    <t>1000000</t>
  </si>
  <si>
    <t>1010000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</si>
  <si>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</si>
  <si>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>Іршанський селишний бюджет</t>
  </si>
  <si>
    <t>Рентна плата за користування надрами для видобування корисних копалин загальнодержавного значення</t>
  </si>
  <si>
    <t>з них</t>
  </si>
  <si>
    <t>бюджет розвитку</t>
  </si>
  <si>
    <t>Додаткова дотація з державного бюджету місцевим бюджетам на покращення надання соціальних послуг найуразливішим верствам населення</t>
  </si>
  <si>
    <t>Додаткова дотація з державного бюджету місцевим бюджетам на стимулювання місцевих органів влади за перевиконання річних розрахункових обсягів податку на прибуток підприємств та акцизного податку</t>
  </si>
  <si>
    <t>Субвенція з державного бюджету місцевим бюджетам на соціально-економічний розвиток</t>
  </si>
  <si>
    <t>Фінансова підтримка дитячо-юнацьких спортивних шкіл фізкультурно-спортивних товариств</t>
  </si>
  <si>
    <t>1731</t>
  </si>
  <si>
    <t>в тому числі:</t>
  </si>
  <si>
    <t>Баранівський міський бюджет</t>
  </si>
  <si>
    <t>Коростишівський міський бюджет</t>
  </si>
  <si>
    <t>Брусилівський селищний бюджет</t>
  </si>
  <si>
    <t>Городницький селищний бюджет</t>
  </si>
  <si>
    <t>Резервний фонд</t>
  </si>
  <si>
    <t>4020</t>
  </si>
  <si>
    <t>0821</t>
  </si>
  <si>
    <t>4030</t>
  </si>
  <si>
    <t>0822</t>
  </si>
  <si>
    <t>0829</t>
  </si>
  <si>
    <t>0830</t>
  </si>
  <si>
    <t>0490</t>
  </si>
  <si>
    <t>3000000</t>
  </si>
  <si>
    <t>3010000</t>
  </si>
  <si>
    <t>Вільський сільський бюджет</t>
  </si>
  <si>
    <t>Надходження бюджетних установ від реалізації в установленому порядку майна (крім нерухомого майна)</t>
  </si>
  <si>
    <t>Субвенція з державного бюджету місцевим бюджетам на реалізацію пріоритетів розвитку регіонів</t>
  </si>
  <si>
    <t>м.Житомир</t>
  </si>
  <si>
    <t>м.Бердичів</t>
  </si>
  <si>
    <t>м.Коростень</t>
  </si>
  <si>
    <t>м.Новоград - Волинський</t>
  </si>
  <si>
    <t>Народицький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</si>
  <si>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</si>
  <si>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</si>
  <si>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0990</t>
  </si>
  <si>
    <t>5020</t>
  </si>
  <si>
    <t>5022</t>
  </si>
  <si>
    <t>0810</t>
  </si>
  <si>
    <t>1113111</t>
  </si>
  <si>
    <t>Управління охорони здоров’я Житомирської обласної державної адміністрації</t>
  </si>
  <si>
    <t>Управління цивільного захисту населення Житомирської обласної державної адміністрації</t>
  </si>
  <si>
    <t>Субвенція з державного бюджету місцевим бюджетам на здійснення заходів щодо соціально-економічного розвитку регіонів за напрямом, які закріплені за Міністерством регіонального розвитку та будівництва України</t>
  </si>
  <si>
    <t>Заходи державної політики із забезпечення рівних прав та можливостей жінок та чоловіків</t>
  </si>
  <si>
    <t>(грн.)</t>
  </si>
  <si>
    <t>Служба у справах дітей облдержадміністрації</t>
  </si>
  <si>
    <t>Плата за ліцензії на право експорту, імпорту алкогольними напоями та тютюновими виробами</t>
  </si>
  <si>
    <t>грн.</t>
  </si>
  <si>
    <t>Код бюджету</t>
  </si>
  <si>
    <t>Додаток  5</t>
  </si>
  <si>
    <t>Додаток 6</t>
  </si>
  <si>
    <t>Додаток  7</t>
  </si>
  <si>
    <t xml:space="preserve">Додаток  2 </t>
  </si>
  <si>
    <t>Додаток  3</t>
  </si>
  <si>
    <t>Плата за державну реєстрацію (крім реєстраційного збору за проведення державної реєстрації юридичних осіб та фізичних осіб-підприємців та громадських формувань)</t>
  </si>
  <si>
    <t>Потіївський сільський бюджет</t>
  </si>
  <si>
    <t>Заходи з організації рятування на водах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</si>
  <si>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</si>
  <si>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</si>
  <si>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</t>
  </si>
  <si>
    <t>придбання витратних матеріалів для закладів охорони здоров"я та лікарських засобів для інгаляційної анестезії</t>
  </si>
  <si>
    <t xml:space="preserve">Брусилівський районний бюджет </t>
  </si>
  <si>
    <t xml:space="preserve">Малинський районний бюджет </t>
  </si>
  <si>
    <t>Новоград-Волинський районний бюджет</t>
  </si>
  <si>
    <t>Разом по районних бюджетах</t>
  </si>
  <si>
    <t>Разом по бюджетах ОТГ</t>
  </si>
  <si>
    <t>інші</t>
  </si>
  <si>
    <t xml:space="preserve">Олевський міський бюджет </t>
  </si>
  <si>
    <t>Зміни обсягів депозитів і цінних паперів, що використовуються для управління ліквідністю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</si>
  <si>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</si>
  <si>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Підтримка спорту вищих досягнень та організацій, які здійснюють фізкультурно-спортивну діяльність в регіоні</t>
  </si>
  <si>
    <t>5062</t>
  </si>
  <si>
    <t>1115062</t>
  </si>
  <si>
    <t>Відсоток  заверше-ності будівниц-тва об'єктів на майбутні роки</t>
  </si>
  <si>
    <t>Разом видатків на поточний рік</t>
  </si>
  <si>
    <t xml:space="preserve">Ушомирський сільський бюджет </t>
  </si>
  <si>
    <t>Підготовка робітничих кадрів професійно-технічними закладами та іншими закладами освіти</t>
  </si>
  <si>
    <t>Інші джерела власних надходжень бюджетних установ</t>
  </si>
  <si>
    <t>Рентна плата за користування надрами</t>
  </si>
  <si>
    <t>Надання соціальних та реабілітаційних послуг громадянам похилого віку, інвалідам, дітям-інвалідам в установах соціального обслуговування</t>
  </si>
  <si>
    <t>Повернення бюджетних коштів з депозитів</t>
  </si>
  <si>
    <r>
      <t>Кошти, що надходять з інших бюджетів</t>
    </r>
    <r>
      <rPr>
        <sz val="12"/>
        <color indexed="8"/>
        <rFont val="Times New Roman"/>
        <family val="1"/>
        <charset val="204"/>
      </rPr>
      <t xml:space="preserve">  </t>
    </r>
  </si>
  <si>
    <t>Субвенція з державного бюджету місцевим бюджетам на будівництво, реконструкцію, ремонт автомобільних доріг комунальної власності</t>
  </si>
  <si>
    <t xml:space="preserve">Субвенція з державного бюджету місцевим бюджетам для сплати заборгованості за поставлене у 2012 році медичне обладнання вітчизняного виробництва </t>
  </si>
  <si>
    <t>Управління екології та природних ресурсів Житомирської обласної державної адміністрації</t>
  </si>
  <si>
    <t>1100000</t>
  </si>
  <si>
    <t>1110000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</si>
  <si>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</si>
  <si>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</si>
  <si>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</si>
  <si>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3111</t>
  </si>
  <si>
    <t>1113130</t>
  </si>
  <si>
    <t>3130</t>
  </si>
  <si>
    <t>1115010</t>
  </si>
  <si>
    <t>5010</t>
  </si>
  <si>
    <t>1115021</t>
  </si>
  <si>
    <t>1115020</t>
  </si>
  <si>
    <t>1115030</t>
  </si>
  <si>
    <t>5030</t>
  </si>
  <si>
    <t>1113131</t>
  </si>
  <si>
    <t>3131</t>
  </si>
  <si>
    <t>1113133</t>
  </si>
  <si>
    <t>3133</t>
  </si>
  <si>
    <t>1113140</t>
  </si>
  <si>
    <t>3140</t>
  </si>
  <si>
    <t>3160</t>
  </si>
  <si>
    <t>1115011</t>
  </si>
  <si>
    <t>5011</t>
  </si>
  <si>
    <t>1115012</t>
  </si>
  <si>
    <t>5012</t>
  </si>
  <si>
    <t>5021</t>
  </si>
  <si>
    <t>1115022</t>
  </si>
  <si>
    <t>1115031</t>
  </si>
  <si>
    <t>5031</t>
  </si>
  <si>
    <t>1115032</t>
  </si>
  <si>
    <t>5032</t>
  </si>
  <si>
    <t>3110</t>
  </si>
  <si>
    <t>Новоград- Волинський районний бюджет</t>
  </si>
  <si>
    <t>Овруцький районний бюджет</t>
  </si>
  <si>
    <t>Олевський районний бюджет</t>
  </si>
  <si>
    <t>Попільнянський районний бюджет</t>
  </si>
  <si>
    <t>Радомишльський районний бюджет</t>
  </si>
  <si>
    <t>Ружинський районний бюджет</t>
  </si>
  <si>
    <t>Черняхівський районний бюджет</t>
  </si>
  <si>
    <t>Чуднівський районний бюджет</t>
  </si>
  <si>
    <t>Іванопільський селищний бюджет Чуднівського району</t>
  </si>
  <si>
    <t xml:space="preserve">в т.ч.: </t>
  </si>
  <si>
    <t>Надходження рентної плати за спеціальне використання води від підприємств житлово-комунального господарства</t>
  </si>
  <si>
    <t>Надання загальної середньої освіти  загальноосвітніми спеціалізованими школами-інтернатами з поглибленим вивченням окремих предметів і курсів для поглибленої підготовки дітей в галузі науки і мистецтв, фізичної культури і спорту, інших галузях, ліцеями з посиленою військово-фізичною підготовкою</t>
  </si>
  <si>
    <t>Носівський сільський бюджет Чуднівського району</t>
  </si>
  <si>
    <t>Жеребківський сільський бюджет Чуднівського району</t>
  </si>
  <si>
    <t>Краснопільський сільський бюджет Чуднівського району</t>
  </si>
  <si>
    <t>Маловолицький сільський бюджет Чуднівського району</t>
  </si>
  <si>
    <t>Галіївський сільський бюджет Чуднівського району</t>
  </si>
  <si>
    <t>1011140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</si>
  <si>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</t>
  </si>
  <si>
    <t xml:space="preserve">Плата за ліцензії на виробництво спирту етилового, коньячного і плодового, алкогольних напоїв та тютюнових виробів </t>
  </si>
  <si>
    <t>Проведення навчально-тренувальних зборів і змагань з неолімпійських видів спорту</t>
  </si>
  <si>
    <t>Разом:</t>
  </si>
  <si>
    <t xml:space="preserve"> </t>
  </si>
  <si>
    <t>до рішення обласної ради</t>
  </si>
  <si>
    <t>Внутрішнє фінансування</t>
  </si>
  <si>
    <t>0320</t>
  </si>
  <si>
    <t>0456</t>
  </si>
  <si>
    <t>0421</t>
  </si>
  <si>
    <t>7340</t>
  </si>
  <si>
    <t>9130</t>
  </si>
  <si>
    <t>0513</t>
  </si>
  <si>
    <t>0540</t>
  </si>
  <si>
    <t>7450</t>
  </si>
  <si>
    <t>0411</t>
  </si>
  <si>
    <t>1</t>
  </si>
  <si>
    <t>2</t>
  </si>
  <si>
    <t>3</t>
  </si>
  <si>
    <t>Городницький селищний бюджет Новоград-Волинського району</t>
  </si>
  <si>
    <t>Довбиський селищний бюджет</t>
  </si>
  <si>
    <t>Інші субвенції ЗФ+СФ</t>
  </si>
  <si>
    <t>Черняхівський селищний бюджет Черняхівського району</t>
  </si>
  <si>
    <t xml:space="preserve">Любарський селищний бюджет </t>
  </si>
  <si>
    <t>0110150</t>
  </si>
  <si>
    <t>0150</t>
  </si>
  <si>
    <t>Інші заклади та заходи</t>
  </si>
  <si>
    <t>Інші заходи у сфері соціального захисту і соціального забезпечення</t>
  </si>
  <si>
    <t>0113242</t>
  </si>
  <si>
    <t>0113240</t>
  </si>
  <si>
    <t>7670</t>
  </si>
  <si>
    <t>0117670</t>
  </si>
  <si>
    <t>Внески до статутного капіталу суб"єктів господарювання</t>
  </si>
  <si>
    <t>0118310</t>
  </si>
  <si>
    <t>0118311</t>
  </si>
  <si>
    <t>8310</t>
  </si>
  <si>
    <t>8311</t>
  </si>
  <si>
    <t>Запобігання та ліквідація забруднення навколишнього природного середовища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</si>
  <si>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</si>
  <si>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</si>
  <si>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</si>
  <si>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0110180</t>
  </si>
  <si>
    <t>Інша діяльність у сфері державного управління</t>
  </si>
  <si>
    <t>0119770</t>
  </si>
  <si>
    <t>9770</t>
  </si>
  <si>
    <t>Інші субвенції з місцевого бюджету</t>
  </si>
  <si>
    <t xml:space="preserve">Підвищення кваліфікації, перепідготовка кадрів закладами післядипломної освіти </t>
  </si>
  <si>
    <t>0200000</t>
  </si>
  <si>
    <t>0210000</t>
  </si>
  <si>
    <t>0211140</t>
  </si>
  <si>
    <t>0210180</t>
  </si>
  <si>
    <t>0219800</t>
  </si>
  <si>
    <t>0600000</t>
  </si>
  <si>
    <t>0610000</t>
  </si>
  <si>
    <t>0611040</t>
  </si>
  <si>
    <t>0611050</t>
  </si>
  <si>
    <t>0611070</t>
  </si>
  <si>
    <t>0611080</t>
  </si>
  <si>
    <t>0611090</t>
  </si>
  <si>
    <t>0611120</t>
  </si>
  <si>
    <t>0611140</t>
  </si>
  <si>
    <t>0615030</t>
  </si>
  <si>
    <t>0615031</t>
  </si>
  <si>
    <t>0611110</t>
  </si>
  <si>
    <t>1110</t>
  </si>
  <si>
    <t xml:space="preserve">Підготовка кадрів вищими навчальними закладами І-ІІ рівнів акредитації (коледжами, технікумами, училищами) </t>
  </si>
  <si>
    <t>0611150</t>
  </si>
  <si>
    <t xml:space="preserve">Методичне забезпечення діяльності навчальних закладів </t>
  </si>
  <si>
    <t>0611160</t>
  </si>
  <si>
    <t>1160</t>
  </si>
  <si>
    <t>0611161</t>
  </si>
  <si>
    <t>1161</t>
  </si>
  <si>
    <t>Інші програми, заклади та заходи у сфері освіти</t>
  </si>
  <si>
    <t>Забезпечення діяльності інших закладів у сфері освіти</t>
  </si>
  <si>
    <t>0611162</t>
  </si>
  <si>
    <t>1162</t>
  </si>
  <si>
    <t>Інші програми та заходи у сфері освіти</t>
  </si>
  <si>
    <t>0619320</t>
  </si>
  <si>
    <t>9320</t>
  </si>
  <si>
    <t>Субвенція з місцевого бюджету за рахунок залишку коштів освітньої субвенції, що утворився на початок бюджетного періоду</t>
  </si>
  <si>
    <t>0619330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</si>
  <si>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</si>
  <si>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0700000</t>
  </si>
  <si>
    <t>0710000</t>
  </si>
  <si>
    <t>0711120</t>
  </si>
  <si>
    <t>0712010</t>
  </si>
  <si>
    <t>0712030</t>
  </si>
  <si>
    <t>0712050</t>
  </si>
  <si>
    <t>0712060</t>
  </si>
  <si>
    <t>0712090</t>
  </si>
  <si>
    <t>0712100</t>
  </si>
  <si>
    <t>0712130</t>
  </si>
  <si>
    <t>0712140</t>
  </si>
  <si>
    <t>0711140</t>
  </si>
  <si>
    <t>0712020</t>
  </si>
  <si>
    <t>2020</t>
  </si>
  <si>
    <t>0712070</t>
  </si>
  <si>
    <t>2070</t>
  </si>
  <si>
    <t>Стоматологічна допомога населенню</t>
  </si>
  <si>
    <t>0712150</t>
  </si>
  <si>
    <t>2150</t>
  </si>
  <si>
    <t>Інші програми, заклади та заходи у сфері охорони здоров’я</t>
  </si>
  <si>
    <t>0712151</t>
  </si>
  <si>
    <t>2151</t>
  </si>
  <si>
    <t>Забезпечення діяльності інших закладів у сфері охорони здоров’я</t>
  </si>
  <si>
    <t>0712143</t>
  </si>
  <si>
    <t>2143</t>
  </si>
  <si>
    <t>0712144</t>
  </si>
  <si>
    <t>2144</t>
  </si>
  <si>
    <t>Централізовані заходи з лікування хворих на цукровий та нецукровий діабет</t>
  </si>
  <si>
    <t>0712152</t>
  </si>
  <si>
    <t>2152</t>
  </si>
  <si>
    <t>Інші програми та заходи у сфері охорони здоров’я</t>
  </si>
  <si>
    <t>0714030</t>
  </si>
  <si>
    <t>Забезпечення діяльності бібліотек</t>
  </si>
  <si>
    <t>0719410</t>
  </si>
  <si>
    <t>9410</t>
  </si>
  <si>
    <t>Субвенція з місцевого бюджету на здійснення переданих видатків у сфері охорони здоров’я за рахунок коштів медичної субвенції</t>
  </si>
  <si>
    <t>0719420</t>
  </si>
  <si>
    <t>9420</t>
  </si>
  <si>
    <t>Субвенція з місцевого бюджету за рахунок залишку коштів медичної субвенції, що утворився на початок бюджетного періоду</t>
  </si>
  <si>
    <t>0719460</t>
  </si>
  <si>
    <t>9460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</si>
  <si>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</si>
  <si>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0719770</t>
  </si>
  <si>
    <t xml:space="preserve">Інші субвенції з місцевого бюджету </t>
  </si>
  <si>
    <t>0712040</t>
  </si>
  <si>
    <t>2040</t>
  </si>
  <si>
    <t>Санаторно-курортна допомога населенню</t>
  </si>
  <si>
    <t>0800000</t>
  </si>
  <si>
    <t>0810000</t>
  </si>
  <si>
    <t>0813050</t>
  </si>
  <si>
    <t>0813090</t>
  </si>
  <si>
    <t>0813100</t>
  </si>
  <si>
    <t>0813101</t>
  </si>
  <si>
    <t>0813102</t>
  </si>
  <si>
    <t>0813103</t>
  </si>
  <si>
    <t>0813105</t>
  </si>
  <si>
    <t>0813220</t>
  </si>
  <si>
    <t xml:space="preserve">Надання реабілітаційних послуг особам з інвалідністю та дітям з інвалідністю 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</si>
  <si>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</si>
  <si>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</si>
  <si>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</si>
  <si>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</si>
  <si>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</si>
  <si>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0813170</t>
  </si>
  <si>
    <t>3170</t>
  </si>
  <si>
    <t>Забезпечення реалізації окремих програм для осіб з інвалідністю</t>
  </si>
  <si>
    <t>0813172</t>
  </si>
  <si>
    <t>3172</t>
  </si>
  <si>
    <t>0813200</t>
  </si>
  <si>
    <t>0813242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</si>
  <si>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</si>
  <si>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</si>
  <si>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</si>
  <si>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</si>
  <si>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0813221</t>
  </si>
  <si>
    <t>3221</t>
  </si>
  <si>
    <t>Грошова компенсація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захисту»;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</si>
  <si>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0819800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</si>
  <si>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</si>
  <si>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0900000</t>
  </si>
  <si>
    <t>0910000</t>
  </si>
  <si>
    <t>0913110</t>
  </si>
  <si>
    <t>0913111</t>
  </si>
  <si>
    <t>0913112</t>
  </si>
  <si>
    <t>0913130</t>
  </si>
  <si>
    <t>0913131</t>
  </si>
  <si>
    <t>0919770</t>
  </si>
  <si>
    <t>1014020</t>
  </si>
  <si>
    <t>1014030</t>
  </si>
  <si>
    <t>1014010</t>
  </si>
  <si>
    <t>4010</t>
  </si>
  <si>
    <t>Фінансова підтримка театрів</t>
  </si>
  <si>
    <t>Фінансова підтримка фiлармонiй, художніх і музичних колективів, ансамблів, концертних та циркових організацій</t>
  </si>
  <si>
    <t>1014040</t>
  </si>
  <si>
    <t>4040</t>
  </si>
  <si>
    <t>Забезпечення діяльності музеїв i виставок</t>
  </si>
  <si>
    <t>1014080</t>
  </si>
  <si>
    <t>4080</t>
  </si>
  <si>
    <t>Інші заклади та заходи в галузі культури і мистецтва</t>
  </si>
  <si>
    <t>1017424</t>
  </si>
  <si>
    <t>7424</t>
  </si>
  <si>
    <t>0443</t>
  </si>
  <si>
    <r>
      <t>Будівництво</t>
    </r>
    <r>
      <rPr>
        <i/>
        <vertAlign val="superscript"/>
        <sz val="12"/>
        <rFont val="Times New Roman"/>
        <family val="1"/>
        <charset val="204"/>
      </rPr>
      <t>1</t>
    </r>
    <r>
      <rPr>
        <i/>
        <sz val="12"/>
        <rFont val="Times New Roman"/>
        <family val="1"/>
        <charset val="204"/>
      </rPr>
      <t xml:space="preserve"> установ та закладів культури</t>
    </r>
  </si>
  <si>
    <t>1017340</t>
  </si>
  <si>
    <t>Проектування, реставрація та охорона пам'яток архітектури</t>
  </si>
  <si>
    <t>1018410</t>
  </si>
  <si>
    <t>8410</t>
  </si>
  <si>
    <t>Фінансова підтримка засобів масової інформації</t>
  </si>
  <si>
    <t>1113120</t>
  </si>
  <si>
    <t>3120</t>
  </si>
  <si>
    <t>1113121</t>
  </si>
  <si>
    <t>3121</t>
  </si>
  <si>
    <t>Утримання та забезпечення діяльності центрів соціальних служб для сім’ї, дітей та молоді</t>
  </si>
  <si>
    <t>1113122</t>
  </si>
  <si>
    <t>3122</t>
  </si>
  <si>
    <t>1113123</t>
  </si>
  <si>
    <t>3123</t>
  </si>
  <si>
    <t>1113240</t>
  </si>
  <si>
    <t>1113241</t>
  </si>
  <si>
    <t>1113242</t>
  </si>
  <si>
    <t>Забезпечення підготовки спортсменів школами вищої спортивної майстерності</t>
  </si>
  <si>
    <t>1118820</t>
  </si>
  <si>
    <t>8820</t>
  </si>
  <si>
    <t>1118821</t>
  </si>
  <si>
    <t>8821</t>
  </si>
  <si>
    <t>Надання кредиту</t>
  </si>
  <si>
    <t>6084</t>
  </si>
  <si>
    <t>1116084</t>
  </si>
  <si>
    <t>0610</t>
  </si>
  <si>
    <t>1600000</t>
  </si>
  <si>
    <t>1610000</t>
  </si>
  <si>
    <t>1611070</t>
  </si>
  <si>
    <t>1611120</t>
  </si>
  <si>
    <t>1611140</t>
  </si>
  <si>
    <t>1612010</t>
  </si>
  <si>
    <t>1612030</t>
  </si>
  <si>
    <t>1613100</t>
  </si>
  <si>
    <t>1613101</t>
  </si>
  <si>
    <t>1613102</t>
  </si>
  <si>
    <t>1613103</t>
  </si>
  <si>
    <t>1613110</t>
  </si>
  <si>
    <t>1613111</t>
  </si>
  <si>
    <t>1615030</t>
  </si>
  <si>
    <t>1615031</t>
  </si>
  <si>
    <t>1612020</t>
  </si>
  <si>
    <t>1612040</t>
  </si>
  <si>
    <t>1612100</t>
  </si>
  <si>
    <t>Лікарсько-акушерська допомога вагітним, породіллям та новонародженим</t>
  </si>
  <si>
    <t>1614030</t>
  </si>
  <si>
    <t>1614040</t>
  </si>
  <si>
    <t>1614080</t>
  </si>
  <si>
    <t>1617321</t>
  </si>
  <si>
    <t>7321</t>
  </si>
  <si>
    <r>
      <t>Будівництво</t>
    </r>
    <r>
      <rPr>
        <i/>
        <vertAlign val="superscript"/>
        <sz val="8"/>
        <rFont val="Times New Roman"/>
        <family val="1"/>
        <charset val="204"/>
      </rPr>
      <t>1</t>
    </r>
    <r>
      <rPr>
        <i/>
        <sz val="8"/>
        <rFont val="Times New Roman"/>
        <family val="1"/>
        <charset val="204"/>
      </rPr>
      <t xml:space="preserve"> </t>
    </r>
    <r>
      <rPr>
        <i/>
        <sz val="14"/>
        <rFont val="Times New Roman"/>
        <family val="1"/>
        <charset val="204"/>
      </rPr>
      <t>освітніх установ та закладів</t>
    </r>
  </si>
  <si>
    <t>1617320</t>
  </si>
  <si>
    <t>7320</t>
  </si>
  <si>
    <t>1617322</t>
  </si>
  <si>
    <t>7322</t>
  </si>
  <si>
    <r>
      <t>Будівництво</t>
    </r>
    <r>
      <rPr>
        <i/>
        <vertAlign val="superscript"/>
        <sz val="12"/>
        <rFont val="Times New Roman"/>
        <family val="1"/>
        <charset val="204"/>
      </rPr>
      <t>1</t>
    </r>
    <r>
      <rPr>
        <i/>
        <sz val="12"/>
        <rFont val="Times New Roman"/>
        <family val="1"/>
        <charset val="204"/>
      </rPr>
      <t xml:space="preserve"> медичних установ та закладів</t>
    </r>
  </si>
  <si>
    <t>1617340</t>
  </si>
  <si>
    <t>1618310</t>
  </si>
  <si>
    <t>1618311</t>
  </si>
  <si>
    <t>1618120</t>
  </si>
  <si>
    <t>8120</t>
  </si>
  <si>
    <t>1618312</t>
  </si>
  <si>
    <t>8312</t>
  </si>
  <si>
    <t xml:space="preserve">Інша діяльність у сфері екології та охорони природних ресурсів </t>
  </si>
  <si>
    <t>2300000</t>
  </si>
  <si>
    <t>2310000</t>
  </si>
  <si>
    <t>2313190</t>
  </si>
  <si>
    <t>3190</t>
  </si>
  <si>
    <t>2313192</t>
  </si>
  <si>
    <t>3192</t>
  </si>
  <si>
    <t>2417110</t>
  </si>
  <si>
    <t>7110</t>
  </si>
  <si>
    <t xml:space="preserve">Реалізація програм в галузі сільського господарства </t>
  </si>
  <si>
    <t>2417120</t>
  </si>
  <si>
    <t>7120</t>
  </si>
  <si>
    <t>Забезпечення діяльності ветеринарних лікарень та ветеринарних лабораторій</t>
  </si>
  <si>
    <t>2700000</t>
  </si>
  <si>
    <t>2710000</t>
  </si>
  <si>
    <t>2717610</t>
  </si>
  <si>
    <t>2717693</t>
  </si>
  <si>
    <t>7693</t>
  </si>
  <si>
    <t>2717690</t>
  </si>
  <si>
    <t>7690</t>
  </si>
  <si>
    <t>Інша економічна діяльність</t>
  </si>
  <si>
    <t>Управління культури та туризму Житомирської обласної державної адміністрації</t>
  </si>
  <si>
    <t>2800000</t>
  </si>
  <si>
    <t>2810000</t>
  </si>
  <si>
    <t>2818310</t>
  </si>
  <si>
    <t>2818311</t>
  </si>
  <si>
    <t>2818312</t>
  </si>
  <si>
    <t>2818313</t>
  </si>
  <si>
    <t>8313</t>
  </si>
  <si>
    <t>3018110</t>
  </si>
  <si>
    <t>8110</t>
  </si>
  <si>
    <t>7440</t>
  </si>
  <si>
    <t>Утримання та розвиток транспортної інфраструктури</t>
  </si>
  <si>
    <t>7460</t>
  </si>
  <si>
    <t>Утримання та розвиток автомобільних доріг та дорожньої інфраструктури</t>
  </si>
  <si>
    <t xml:space="preserve">Інша діяльність у сфері транспорту </t>
  </si>
  <si>
    <t>3710000</t>
  </si>
  <si>
    <t>3700000</t>
  </si>
  <si>
    <t>3718700</t>
  </si>
  <si>
    <t>8700</t>
  </si>
  <si>
    <t>3719120</t>
  </si>
  <si>
    <t xml:space="preserve">Дотація з місцевого бюджету за рахунок стабілізаційної дотації з державного бюджету </t>
  </si>
  <si>
    <t>3719230</t>
  </si>
  <si>
    <t>9230</t>
  </si>
  <si>
    <t xml:space="preserve"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</si>
  <si>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3719220</t>
  </si>
  <si>
    <t>9220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</si>
  <si>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</si>
  <si>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3719210</t>
  </si>
  <si>
    <t>9210</t>
  </si>
  <si>
    <t xml:space="preserve"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</si>
  <si>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>3719800</t>
  </si>
  <si>
    <t>3719540</t>
  </si>
  <si>
    <t>9540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</si>
  <si>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</si>
  <si>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9250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</si>
  <si>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 за рахунок відповідної субвенції з державного бюджету</t>
  </si>
  <si>
    <t>3719250</t>
  </si>
  <si>
    <t>9620</t>
  </si>
  <si>
    <t>3719620</t>
  </si>
  <si>
    <t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t>
  </si>
  <si>
    <t>3719240</t>
  </si>
  <si>
    <t>9240</t>
  </si>
  <si>
    <t>Субвенції з місцевих бюджетів на виплату грошової компенсації за належні для отримання жилі приміщення</t>
  </si>
  <si>
    <t>9241</t>
  </si>
  <si>
    <t>3719241</t>
  </si>
  <si>
    <t xml:space="preserve">Субвенція з місцевого бюджету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захисту»;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
 за рахунок відповідної субвенції з державного бюджету
</t>
  </si>
  <si>
    <t>3719320</t>
  </si>
  <si>
    <t>3719770</t>
  </si>
  <si>
    <t>Субвенція з місцевого бюджету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самоврядування, за рахунок відповідної субвенції з державного бюджету</t>
  </si>
  <si>
    <t>Пільгові довгострокові кредити молодим сім’ям та одиноким молодим громадян  на будівництво/придбання житла  та їх повернення</t>
  </si>
  <si>
    <t>Субвенція з державного бюджету місцевим бюджетам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</si>
  <si>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Субвенція  з державного бюджету місцевим бюджетам на надання пільг та 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</t>
  </si>
  <si>
    <t>Субвенція 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</t>
  </si>
  <si>
    <t xml:space="preserve">Субвенція з державного бюджету місцевим бюджетам на придбання витратних матеріалів для закладів охорони здоров'я та лікарських засобів для інгаляційної анестезії </t>
  </si>
  <si>
    <t>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</si>
  <si>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осіб з їх числа</t>
  </si>
  <si>
    <t>0711130</t>
  </si>
  <si>
    <t>1130</t>
  </si>
  <si>
    <t>0942</t>
  </si>
  <si>
    <t>Підготовка кадрів вищими навчальними закладами ІІІ-ІV рівнів акредитації (університетами, академіями, інститутами)</t>
  </si>
  <si>
    <t>1014081</t>
  </si>
  <si>
    <t>4081</t>
  </si>
  <si>
    <t xml:space="preserve">Забезпечення діяльності інших закладів в галузі культури і мистецтва </t>
  </si>
  <si>
    <t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</si>
  <si>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 xml:space="preserve"> Субвенція загального фонду:</t>
  </si>
  <si>
    <t>Радомишльський міський бюджет</t>
  </si>
  <si>
    <t>Ємільчинський селищний бюджет</t>
  </si>
  <si>
    <t>Любарський селищний бюджет</t>
  </si>
  <si>
    <t>Пулинський селищний бюджет</t>
  </si>
  <si>
    <t>Брониківський сільський бюджет</t>
  </si>
  <si>
    <t>Піщівський сільський бюджет</t>
  </si>
  <si>
    <t xml:space="preserve">Словечанський сільський бюджет </t>
  </si>
  <si>
    <t>Курненський сільський бюджет</t>
  </si>
  <si>
    <t>Мартинівський сільський бюджет</t>
  </si>
  <si>
    <t>Соколівський сільський бюджет</t>
  </si>
  <si>
    <t>Глибочицький сільський бюджет</t>
  </si>
  <si>
    <t>Оліївський сільський бюджет</t>
  </si>
  <si>
    <t>06201100000</t>
  </si>
  <si>
    <t>06202100000</t>
  </si>
  <si>
    <t>06203100000</t>
  </si>
  <si>
    <t>06204100000</t>
  </si>
  <si>
    <t>06205100000</t>
  </si>
  <si>
    <t>06301200000</t>
  </si>
  <si>
    <t>06302200000</t>
  </si>
  <si>
    <t>06303200000</t>
  </si>
  <si>
    <t>06304200000</t>
  </si>
  <si>
    <t>06305200000</t>
  </si>
  <si>
    <t>06306200000</t>
  </si>
  <si>
    <t>06307200000</t>
  </si>
  <si>
    <t>06308200000</t>
  </si>
  <si>
    <t>06309200000</t>
  </si>
  <si>
    <t>06310200000</t>
  </si>
  <si>
    <t>06311200000</t>
  </si>
  <si>
    <t>06312200000</t>
  </si>
  <si>
    <t>06313200000</t>
  </si>
  <si>
    <t>06314200000</t>
  </si>
  <si>
    <t>06315200000</t>
  </si>
  <si>
    <t>06316200000</t>
  </si>
  <si>
    <t>06317200000</t>
  </si>
  <si>
    <t>06318200000</t>
  </si>
  <si>
    <t>06319200000</t>
  </si>
  <si>
    <t>06320200000</t>
  </si>
  <si>
    <t>06321200000</t>
  </si>
  <si>
    <t>06322200000</t>
  </si>
  <si>
    <t>06323200000</t>
  </si>
  <si>
    <t>06501000000</t>
  </si>
  <si>
    <t>06502000000</t>
  </si>
  <si>
    <t>06503000000</t>
  </si>
  <si>
    <t>06504000000</t>
  </si>
  <si>
    <t>06505000000</t>
  </si>
  <si>
    <t>06506000000</t>
  </si>
  <si>
    <t>06507000000</t>
  </si>
  <si>
    <t>06508000000</t>
  </si>
  <si>
    <t>06509000000</t>
  </si>
  <si>
    <t>06510000000</t>
  </si>
  <si>
    <t>06511000000</t>
  </si>
  <si>
    <t>06512000000</t>
  </si>
  <si>
    <t>06513000000</t>
  </si>
  <si>
    <t>06514000000</t>
  </si>
  <si>
    <t>06515000000</t>
  </si>
  <si>
    <t>06516000000</t>
  </si>
  <si>
    <t>06517000000</t>
  </si>
  <si>
    <t>06518000000</t>
  </si>
  <si>
    <t>06519000000</t>
  </si>
  <si>
    <t>06520000000</t>
  </si>
  <si>
    <t>06521000000</t>
  </si>
  <si>
    <t>06522000000</t>
  </si>
  <si>
    <t>06523000000</t>
  </si>
  <si>
    <t>06524000000</t>
  </si>
  <si>
    <t>06525000000</t>
  </si>
  <si>
    <t>06526000000</t>
  </si>
  <si>
    <t>06527000000</t>
  </si>
  <si>
    <t>06528000000</t>
  </si>
  <si>
    <t>06529000000</t>
  </si>
  <si>
    <t>06530000000</t>
  </si>
  <si>
    <t>06531000000</t>
  </si>
  <si>
    <t>06532000000</t>
  </si>
  <si>
    <t>06533000000</t>
  </si>
  <si>
    <t>06534000000</t>
  </si>
  <si>
    <t>06535000000</t>
  </si>
  <si>
    <t>06536000000</t>
  </si>
  <si>
    <t>06537000000</t>
  </si>
  <si>
    <t>06538000000</t>
  </si>
  <si>
    <t>06539000000</t>
  </si>
  <si>
    <t>06540000000</t>
  </si>
  <si>
    <t>06541000000</t>
  </si>
  <si>
    <t>06542000000</t>
  </si>
  <si>
    <t>06543000000</t>
  </si>
  <si>
    <t>06544000000</t>
  </si>
  <si>
    <t>06545000000</t>
  </si>
  <si>
    <t>Краснопільський сільський бюджет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</si>
  <si>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</si>
  <si>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в тому числі на:</t>
  </si>
  <si>
    <t>освіту</t>
  </si>
  <si>
    <t>охорону здоров"я</t>
  </si>
  <si>
    <t>3719130</t>
  </si>
  <si>
    <t xml:space="preserve"> Субвенція загального фонду :</t>
  </si>
  <si>
    <t>0116020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</si>
  <si>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</si>
  <si>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</si>
  <si>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</si>
  <si>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0619770</t>
  </si>
  <si>
    <t>0819770</t>
  </si>
  <si>
    <t>0919270</t>
  </si>
  <si>
    <t>9270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</si>
  <si>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 з державного бюджету</t>
  </si>
  <si>
    <t>1014082</t>
  </si>
  <si>
    <t>4082</t>
  </si>
  <si>
    <t>1018420</t>
  </si>
  <si>
    <t>8420</t>
  </si>
  <si>
    <t>Інші заходи у сфері засобів масової інформації</t>
  </si>
  <si>
    <t>1017620</t>
  </si>
  <si>
    <t>7620</t>
  </si>
  <si>
    <t>1017622</t>
  </si>
  <si>
    <t>7622</t>
  </si>
  <si>
    <t>Розвиток готельного господарства та туризму</t>
  </si>
  <si>
    <t>Реалізація програм і заходів в галузі туризму та курортів</t>
  </si>
  <si>
    <t>0470</t>
  </si>
  <si>
    <t>Інші заходи та заклади молодіжної політики</t>
  </si>
  <si>
    <t>1617310</t>
  </si>
  <si>
    <t>7310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</si>
  <si>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об'єктів житлово-комунального господарства</t>
    </r>
  </si>
  <si>
    <t>1617325</t>
  </si>
  <si>
    <t>7325</t>
  </si>
  <si>
    <t>1617370</t>
  </si>
  <si>
    <t>7370</t>
  </si>
  <si>
    <t>Реалізація інших заходів щодо соціально-економічного розвитку територій</t>
  </si>
  <si>
    <t>1617640</t>
  </si>
  <si>
    <t>7640</t>
  </si>
  <si>
    <t>Заходи з енергозбереження</t>
  </si>
  <si>
    <t>2310180</t>
  </si>
  <si>
    <t>3240</t>
  </si>
  <si>
    <t>2313240</t>
  </si>
  <si>
    <t>2717350</t>
  </si>
  <si>
    <t>7350</t>
  </si>
  <si>
    <t>Розроблення схем планування та забудови територій (містобудівної документації)</t>
  </si>
  <si>
    <t>3018120</t>
  </si>
  <si>
    <t>Утримання та розвиток автомобільних доріг та дорожньої інфраструктури за рахунок коштів місцевого бюджету</t>
  </si>
  <si>
    <t>0619310</t>
  </si>
  <si>
    <t>9310</t>
  </si>
  <si>
    <t xml:space="preserve">Субвенція з місцевого бюджету на здійснення переданих видатків у сфері освіти за рахунок коштів освітньої субвенції </t>
  </si>
  <si>
    <t>3719750</t>
  </si>
  <si>
    <t>9750</t>
  </si>
  <si>
    <t>Субвенція з місцевого бюджету на співфінансування інвестиційних проектів</t>
  </si>
  <si>
    <t>2818330</t>
  </si>
  <si>
    <t>8330</t>
  </si>
  <si>
    <t>Утримання та розвиток автомобільних доріг та дорожньої інфраструктури за рахунок субвенції з  державного бюджету</t>
  </si>
  <si>
    <t>Інші заходи в галузі культури і мистецтва</t>
  </si>
  <si>
    <t>Розподіл видатків обласного бюджету на 2018 рік</t>
  </si>
  <si>
    <t xml:space="preserve"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</si>
  <si>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на співфінансування переобладнання шкільних бібліотек у медіатеки</t>
  </si>
  <si>
    <t>Словечанський сільський бюджет</t>
  </si>
  <si>
    <t>на пільгове медичне обслуговування осіб, які постраждали внаслідок Чорнобильської катастрофи</t>
  </si>
  <si>
    <t>на виконання Регіональної (комплексної) цільової соціальної Програми забезпечення житлом дітей-сиріт, дітей, позбавлених батьківського піклування, та осіб з їх числа на 2018-2022 роки</t>
  </si>
  <si>
    <t>на надання матеріальної допомоги Козаченко Н.М. на лікування дитини Козаченко Д.В.</t>
  </si>
  <si>
    <t>на благоустрій та впорядкування території пам'ятки історії місцевого значення "Братська могила воїнів ІІ Зимового походу армії УНР"</t>
  </si>
  <si>
    <t>пільгове медичне обслуговування осіб, які постраждали внаслідок Чорнобильської катастрофи</t>
  </si>
  <si>
    <t xml:space="preserve">надання матеріальної допомоги Козаченко Н.М. на лікування дитини Козаченко Д. В. </t>
  </si>
  <si>
    <t>Субвенція спеціального фонду:</t>
  </si>
  <si>
    <t>1116080</t>
  </si>
  <si>
    <t>6080</t>
  </si>
  <si>
    <t xml:space="preserve">Реалізація державних та місцевих житлових програм </t>
  </si>
  <si>
    <t>2313242</t>
  </si>
  <si>
    <t>3242</t>
  </si>
  <si>
    <t>на реалізацію заходів Програми забезпечення депутатської діяльності, проведення конкурсів та нагород обласної ради на 2018 рік</t>
  </si>
  <si>
    <t>на реалізацію заходів Програми економічного і соціального розвитку Житомирської області на 2018 рік</t>
  </si>
  <si>
    <t>7324</t>
  </si>
  <si>
    <t>1017324</t>
  </si>
  <si>
    <t>Підготовка кадрів професійно-технічними закладами та іншими закладами освіти</t>
  </si>
  <si>
    <t>Екстрена та швидка медична допомога населенню</t>
  </si>
  <si>
    <t>Видатки на поховання учасників бойових дій та осіб з інвалідністю внаслідок війни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</si>
  <si>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</si>
  <si>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інші хвороби</t>
  </si>
  <si>
    <t>Навчання та трудове влаштування осіб з інвалідністю</t>
  </si>
  <si>
    <t>Встановлення телефонів особам з інвалідністю I і II груп</t>
  </si>
  <si>
    <t>0813240</t>
  </si>
  <si>
    <t>Витрати, пов’язані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</si>
  <si>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Надання фінансової підтримки громадським організаціям осіб з інвалідністю і ветеранів, діяльність яких має соціальну спрямованість</t>
  </si>
  <si>
    <t>Заходи із запобігання та ліквідації надзвичайних ситуацій та наслідків стихійного лиха</t>
  </si>
  <si>
    <t xml:space="preserve">Орендна плата за водні об"єкти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  </t>
  </si>
  <si>
    <t xml:space="preserve">                    Доходи обласного бюджету на 2018 рік</t>
  </si>
  <si>
    <t xml:space="preserve">                 Інші субвенції з місцевих бюджетів до обласного бюджету на 2018 рік</t>
  </si>
  <si>
    <t>Фінансування обласного бюджету на 2018 рік</t>
  </si>
  <si>
    <t>Міжбюджетні трансферти з обласного бюджету місцевим/державному бюджетам на 2018 рік</t>
  </si>
  <si>
    <t xml:space="preserve">                 Інші субвенції з обласного бюджету місцевим бюджетам на 2018 рік</t>
  </si>
  <si>
    <t>Будівництво об'єктів житлово-комунального господарства</t>
  </si>
  <si>
    <t>Підвідний газопровід до с.Никонівка Бердичівського району - будівництво (Траса - "ГРС Гальчин" ПКО, 00 - 15+00)</t>
  </si>
  <si>
    <t>Будівництво об"єктів соціально-культурного призначення</t>
  </si>
  <si>
    <t>Будівництво споруд, установ та закладів фізичної культури і спорту</t>
  </si>
  <si>
    <t>Програма підтримки та розвитку об"єктів спільної власності територіальних громад області на 2017-2018 роки, рішення обласної ради від 23.02.2017 №530</t>
  </si>
  <si>
    <t>Програма інформаційної діяльності Житомирської обласної державної адміністрації та розвитку інформаційного простору області на 2016-2018 роки, рішення обласної ради від 24.12.2015  № 29</t>
  </si>
  <si>
    <t>Регіональна програма інформатизації
на 2017 – 2019 роки, рішення обласної ради від 22.12.2016 №419</t>
  </si>
  <si>
    <t>Комплексна Програма оздоровлення та відпочинку дітей на 2016-2020 роки, рішення обласної ради від 26.01.2016 №110, зі змінами</t>
  </si>
  <si>
    <t>Обласна комплексна Програма розвитку фізичної культури і спорту на 2017-2020 роки, рішення обласної ради від 22.12.2016 №418, зі змінами</t>
  </si>
  <si>
    <t>Обласна цільова програма розвитку високоспеціалізованої медичної допомоги дорослому населенню на 2016-2020 роки, рішення обласної ради від 22.12.16 №408</t>
  </si>
  <si>
    <t>Регіональна цільова соціальна програма протидії ВІЛ-інфекції СНІДУ за 2015-2018 роки, рішення обласної ради від 28.05.15 №1546</t>
  </si>
  <si>
    <t>Програма соціальної підтримки учасників антитерористичної операції та членів сімей загиблих учасників антитерористичної операції, внутрішньо переміщених осіб з тимчасово окупованої території, районів проведення антитерористичної операції на територію Житомирської області у 2018 році</t>
  </si>
  <si>
    <t>Обласна комплексна програма соціального захисту осіб з інвалідністю, ветеранів війни та праці, пенсіонерів та незахищених верств населення Житомирської області на 2018-2022 роки</t>
  </si>
  <si>
    <t>Програма соціального захисту громадян, які постраждали внаслідок Чорнобильської катастрофи, на 2017-2021 роки</t>
  </si>
  <si>
    <t>Цільова Програма щодо забезпечення та захисту прав дітей у Житомирській області на 2017-2018 роки, рішення обласної ради від 22.12.2016 №416</t>
  </si>
  <si>
    <t>Регіональна  (комплексна) цільова соціальна Програма забезпечення житлом дітей-сиріт, дітей, позбавлених батьківського піклування, та осіб з їх числа на 2018-2022 роки, рішення обласної ради від 02.11.2017 №776</t>
  </si>
  <si>
    <t>Обласна Програма сприяння культурно-мистецькому розвитку області на 2015-2020 роки</t>
  </si>
  <si>
    <t>Обласна програма охорони та збереження культурної спадщини на 2017-2018 роки, рішення обласної ради від 22.12.2016 № 406</t>
  </si>
  <si>
    <t>Обласна комплексна програма „Молодь і родина Житомирщини” на 2017-2020 роки</t>
  </si>
  <si>
    <t>Обласна комплексна програма  "Молодь і родина Житомирщини" на 2017-2020 роки, рішення обласної ради від 22.12.2016 № 425</t>
  </si>
  <si>
    <t>Реалізація державних та місцевих житлових програм</t>
  </si>
  <si>
    <t>Обласна комплексна програма "Молодь і родина Житомирщини" на 2017-2020 роки, рішення обласної ради від 22.12.2016 № 425</t>
  </si>
  <si>
    <t>Програма стимулювання населення, ОСББ, ЖБК Житомирщини щодо ефективного використання енергетичних ресурсів та енергозбереження та 2015-2018 роки, рішення обласної ради від 10.09.2015 №1576</t>
  </si>
  <si>
    <t>Програма інформаційної діяльності Житомирської обласної державної адміністрації та розвитку інформаційного простору області на 2016-2018 роки, рішення обласної ради від 24.12.2015  № 29
(в т.ч.книговидання)</t>
  </si>
  <si>
    <t>Програма розвитку громадянського суспільства у Житомирській області на 2016 – 2018 роки , рішення обласної ради від 24.12.2015  № 30</t>
  </si>
  <si>
    <t>Програма забезпечення діяльності Центру допомоги учасникам АТО на 2016-2018 роки, рішення обласної ради від 31.03.2016 №206</t>
  </si>
  <si>
    <t>Програма розвитку агропромислового комплексу Житомирської області на 2016-2020 роки, рішення обласної ради від 21.07.2016 № 284</t>
  </si>
  <si>
    <t>8830</t>
  </si>
  <si>
    <t>8831</t>
  </si>
  <si>
    <t>Комплексна Програма забезпечення пожежної та техногенної безпеки, захисту населення і територій Житомирської області від надзвичайних ситуацій на 2016-2020 роки, рішення обласної ради від 24.12.15 № 25</t>
  </si>
  <si>
    <t>Довгострокові кредити індивідуальним забудовникам житла на селі та їх повернення</t>
  </si>
  <si>
    <t>Будівництво об'єктів соціально-культурного призначення</t>
  </si>
  <si>
    <t>Утримання центрів фізичної культури і спорту осіб з інвалідністю і реабілітаційних шкіл</t>
  </si>
  <si>
    <t>Проведення навчально-тренувальних зборів і змагань та заходів зі спорту осіб з інвалідністю</t>
  </si>
  <si>
    <t>Здійснення фізкультурно-спортивної та реабілітаційної роботи серед осіб з інвалідністю</t>
  </si>
  <si>
    <t>Будівництво установ та закладів культури</t>
  </si>
  <si>
    <t>1017320</t>
  </si>
  <si>
    <t>Реконструкція з розширенням музею космонавтики ім. С.П.Корольова по вул.Дмитрівській, 2 в м. Житомирі</t>
  </si>
  <si>
    <t xml:space="preserve">на співфінансування об"єкту "Капітальний ремонт приміщень в комунальній установі "Житомирське обласне стоматологічне об"єднання" Житомирської обласної ради для розміщення філії відділення гемодіалізу КУ "Обласна клінічна лікарня ім.О.Ф.Гербачевського"  Житомирської обласної ради за адресою: м.Житомир, вул.Грушевського,33 А </t>
  </si>
  <si>
    <t>1900000</t>
  </si>
  <si>
    <t>1910000</t>
  </si>
  <si>
    <t>1917440</t>
  </si>
  <si>
    <t>1917460</t>
  </si>
  <si>
    <t>1917450</t>
  </si>
  <si>
    <t>Управління дорожнього будівництва та інфраструктури Житомирської обласної державної адміністрації</t>
  </si>
  <si>
    <t>1617360</t>
  </si>
  <si>
    <t>7360</t>
  </si>
  <si>
    <t>Виконання інвестиційних проектів</t>
  </si>
  <si>
    <t>1617361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</si>
  <si>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</si>
  <si>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</si>
  <si>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2717370</t>
  </si>
  <si>
    <t>Програма забезпечення депутатської діяльності, проведення конкурсів та нагород обласної ради на 2018 рік, рішення обласної ради від 21.12.2017   № 871</t>
  </si>
  <si>
    <t>Програма економічного і соціального розвитку Житомирської області на 2018 рік, рішення обласної ради від 21.12.2017 № 868</t>
  </si>
  <si>
    <t>Програма підтримки органів місцевого самоврядування та сприяння реалізації ініційованих ними проектів, спрямованих на соціально-економічний розвиток Житомирської області, на 2018-2020 роки, рішення обласної ради від 21.12.2017 № 877</t>
  </si>
  <si>
    <t>Обласна комплексна програма охорони навколишнього природного середовища в Житомирській області на 2018-2022 роки, рішення обласної ради від 21.12.2017 № 880</t>
  </si>
  <si>
    <t>Програма розвитку дорожньої інфраструктури і фінансування робіт, пов'язаних із будівництвом, реконструкцією, ремонтом та утриманням автомобільних доріг в Житомирській області на 2018 рік, рішення обласної ради від 21.12.2017 № 879</t>
  </si>
  <si>
    <t>Програма економічного і соціального розвитку Житомирської області на 2018 рік, рішення обласної ради від  № 868</t>
  </si>
  <si>
    <t>Програма соціального захисту громадян, які постраждали внаслідок Чорнобильської катастрофи, на 2017-2021 роки, рішення обласної ради від 02.11.2017 № 775</t>
  </si>
  <si>
    <t>на реалізацію заходів Програми підтримки органів місцевого самоврядування та сприяння реалізації ініційованих ними проектів, спрямованих на соціально-економічний розвиток Житомирської області, на 2018-2020 роки</t>
  </si>
  <si>
    <t>на реалізацію заходів Регіональної  (комплексної) цільової соціальної Програми забезпечення житлом дітей-сиріт, дітей, позбавлених батьківського піклування, та осіб з їх числа на 2018-2022 роки</t>
  </si>
  <si>
    <t xml:space="preserve">на співфінансування пунктів постійного та тимчасового базування бригад комунальної установи "Центр екстренної медичної допомоги та медицини катастроф" Житомирської обласної ради розміщених на території району </t>
  </si>
  <si>
    <t>1117700</t>
  </si>
  <si>
    <t>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</si>
  <si>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</si>
  <si>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Про зарахування коштів до обласного бюджету, рішення обласної ради від 24.12.2015 № 37</t>
  </si>
  <si>
    <t xml:space="preserve">на співфінансування придбання ангіографічного комплексу для КУ "Обласна клінічна лікарня ім.Гербачевського" Житомирської обласної ради </t>
  </si>
  <si>
    <t>на співфінансування придбання ангіографічного комплексу для КУ "Обласна клінічна лікарня ім.О.Ф.Гербачевського" Житомирської обласної ради</t>
  </si>
  <si>
    <t>на співфінансування придбання шкільного автобуса</t>
  </si>
  <si>
    <t xml:space="preserve">Семенівський сільський бюджет </t>
  </si>
  <si>
    <t xml:space="preserve">Високівський сільський бюджет </t>
  </si>
  <si>
    <t>на співфінансування проекту "Створення комфортних умов для розвитку дітей в ДНЗ "Калинка" Червоненської селищної ради</t>
  </si>
  <si>
    <t>на фінансування проекту "Реконструкція Червоненської ЗОШ І-ІІІ ст. із застосуванням енергозберігаючих технологій"</t>
  </si>
  <si>
    <t>на співфінансування проекту "Будівництво комунальної сонячної електростанції Червоненської селищної ради ОТГ за адресою: Житомирська область, Андрушівський район, смт Червоне"</t>
  </si>
  <si>
    <t xml:space="preserve">Червоненський селищний бюджет </t>
  </si>
  <si>
    <t>на співфінансування 40 відсотків вартості придбання шкільного автобуса для перевезення учнів у сільській місцевості</t>
  </si>
  <si>
    <t xml:space="preserve">Ємільчинський  селищний бюджет </t>
  </si>
  <si>
    <t>співфінансування на реконструкцію та технічне переобладнання очисних споруд каналізації в смт Ємільчине</t>
  </si>
  <si>
    <t>Гришковецький селищний бюджет Бердичівського району</t>
  </si>
  <si>
    <t>на співфінансування для проведення капітального ремонту фасадів і даху з утепленням Радомишльської гімназії</t>
  </si>
  <si>
    <t>реконструкція мереж водопостачання м.Малина Житомирської області (співфінансування)</t>
  </si>
  <si>
    <t>на придбання запасних частин для проведення ремонтів та оплати послуг з поточного ремонту спеціалізованих автомобілів "Швидка допомога", які обслуговують мешканців Андрушівського району</t>
  </si>
  <si>
    <t>реконструкція (ефективна термосанація) Миропільської гімназії</t>
  </si>
  <si>
    <t>ГРК - Служба у справах дітей облдержадміністрації</t>
  </si>
  <si>
    <t>ГРК - Департамент праці та соціального захисту населення Житомирської обласної державної адміністрації</t>
  </si>
  <si>
    <t>ГРК - Управління охорони здоров"я Житомирської обласної державної адміністрації</t>
  </si>
  <si>
    <t>ГРК - Департамент фінансів Житомирської обласної державної адміністрації</t>
  </si>
  <si>
    <t>ГРК - Управління освіти і науки Житомирської обласної державної адміністрації</t>
  </si>
  <si>
    <t>ГРК - Житомирська обласна рада</t>
  </si>
  <si>
    <t>Придбання прасувального катка для ДНЗ №15</t>
  </si>
  <si>
    <t>Придбання промислової пральної машини для ДНЗ №6</t>
  </si>
  <si>
    <t>Придбання жалюзей для НВК №11</t>
  </si>
  <si>
    <t>Придбання меблів для ЗОШ І-ІІІ ст. №1</t>
  </si>
  <si>
    <t>Придбання меблів для кабінетів початкових класів ЗОШ І-ІІІ ст. №32</t>
  </si>
  <si>
    <t>Капітальний ремонт заповнень віконних та дверних прорізів в під"їздах житлових будинків по вул. Миру, 3, 5 в м.Бердичеві (МК ВЖРЕП № 7)</t>
  </si>
  <si>
    <t>Придбання та встановлення дитячого ігрового майданчика на прибудинковій території житлового будинку по вул. Толстого, 20 м.Бердичів</t>
  </si>
  <si>
    <t>Придбання та заміна віконних рам на металопластикові для Биківської ЗОШ І-ІІІ ст.</t>
  </si>
  <si>
    <t>Придбання та заміна старого парадного входу у приміщення на металопластикове для Старочуднівськогутянської ЗОШ І-ІІІ ст.</t>
  </si>
  <si>
    <t>Поточний ремонт приміщення другого поверху КУ Романівської районної ради "Романівський районний Будинок культури"</t>
  </si>
  <si>
    <t>Придбання світлопровідникової продукції для Іванівської сільської ради</t>
  </si>
  <si>
    <t>Придбання меблів, класної дошки, наочності проектора, заміна дверей для Сарновицької ЗОШ І-ІІІ ст.</t>
  </si>
  <si>
    <t>Капітальний ремонт спортивного залу Стремигородського НВК "Середня ЗОШ І-ІІ ст. - ДНЗ"</t>
  </si>
  <si>
    <t>Капітальний ремонт клубу в с.Різня</t>
  </si>
  <si>
    <t>Придбання контейнерів для побутових відходів для Ружинської селищної ради</t>
  </si>
  <si>
    <t>Ремонт харчового блоку Пулинської ЦРЛ</t>
  </si>
  <si>
    <t>Капітальний ремонт покрівлі та утеплення фасаду приміщення їдальні Селянщинського спортивного ліцею</t>
  </si>
  <si>
    <t>Придбання спортінвентарю для Дубрівської ЗОШ І-ІІІ ст.</t>
  </si>
  <si>
    <t>Облаштування мереж вуличного освітлення населених пунктів громади</t>
  </si>
  <si>
    <t>Придбання медичного обладнання для Баранівської КЦРЛ</t>
  </si>
  <si>
    <t>Придбання та встановлення вхідних дверей для Баранівського ЦПМСД</t>
  </si>
  <si>
    <t>Придбання спортінвентарю для Мирославського Будинку культури</t>
  </si>
  <si>
    <t>Придбання оргтехніки для опорного навчального закладу "Баранівська гімназія"</t>
  </si>
  <si>
    <t>Проведення інтернету для Явненської ЗОШ І-ІІ ст.</t>
  </si>
  <si>
    <t>Придбання спортінвентарю для с.Смолдирів, Смолка, Іванівка</t>
  </si>
  <si>
    <t>Придбання та встановлення металопластикових вікон для клубу Здвижівського старостинського округу</t>
  </si>
  <si>
    <t>Придбання рубероїду для перекриття даху будинку по вул.Центральна, 5 смт Дружби</t>
  </si>
  <si>
    <t>Придбання костюмів для Олевського ЦХЕТУМу</t>
  </si>
  <si>
    <t>Придбання шкільних меблів для Копищенської ЗОШ І-ІІІ ст.</t>
  </si>
  <si>
    <t>Придбання дитячого спортивного куточка для ДНЗ "Сонечко" смт Довбиш</t>
  </si>
  <si>
    <t>Придбання іграшок для Мар"янівського дитячого садочка</t>
  </si>
  <si>
    <t>Придбання оргтехніки для Мар"янівської ЗОШ І-ІІІ ст.</t>
  </si>
  <si>
    <t>Придбання системи очищення питної води в Ходорківську ЗОШ І-ІІІ ст.</t>
  </si>
  <si>
    <t>Придбання телевізора для Попільнянської ЗОШ І-ІІІ ст.</t>
  </si>
  <si>
    <t>Придбання матеріалів, ліхтарів, ламп для відновлення вуличного освітлення в с.Поромівка</t>
  </si>
  <si>
    <t>Заміна вікон на енергозберігаючі в Хорошівському ЦПМСД</t>
  </si>
  <si>
    <t>Поточний ремонт актової зали, придбання стельової системи, світильників, меблів та засобів навчання для Чоповицького ЗНВК "Гімназія-ЗНЗ І-ІІІ ст.-ДНЗ"</t>
  </si>
  <si>
    <t>Придбання ноутбука для Харліївської сільської бібліотеки</t>
  </si>
  <si>
    <t>Придбання обладнання для математичного кабінету Андрушківської ЗОШ І-ІІІ ст. ім.А.Н.Вітрука</t>
  </si>
  <si>
    <t>Придбання комп"ютера та програмного забезпечення для Почуйківської АЗПСМ</t>
  </si>
  <si>
    <t>Придбання предметів та матеріалів для Словечанської районної лікарні</t>
  </si>
  <si>
    <t>Придбання будівельних матеріалів, меблів, електрообладнання та ін. для Малої академії народних мистецтв та ремесел</t>
  </si>
  <si>
    <t>Придбання мультимедійної дошки для Андріївської ЗОШ І-ІІІ ст.</t>
  </si>
  <si>
    <t>Придбання мультимедійного проектора для Пулинської ЗОШ І-ІІІ ст.</t>
  </si>
  <si>
    <t>Придбання ноутбуків для Вацлавпільської гімназії</t>
  </si>
  <si>
    <t>Придбання обладнання для Радомишльської гімназії</t>
  </si>
  <si>
    <t>Поточний ремонт будівлі Бердичівської міської гуманітарної гімназії №2</t>
  </si>
  <si>
    <t>Проект "Створення шкільного телебачення в Баранівській гімназії"</t>
  </si>
  <si>
    <t>Поточний ремонт системи вуличного освітлення с.Варварівка</t>
  </si>
  <si>
    <t>Придбання фотопринтера для Олевської зош І-ІІІ ст. №3</t>
  </si>
  <si>
    <t>Ремонт приміщення харчоблоку оздоровчого дитячо-юнацького табору "Березовий гай"</t>
  </si>
  <si>
    <t>Придбання 2-х ліфтів для лікувального корпусу Романівської ЦРЛ</t>
  </si>
  <si>
    <t>Технічне переоснащення системи опалення в Будинку культури с. Копище Олевського району</t>
  </si>
  <si>
    <t>Облаштування скверу зі встановленням погруддя отамана Тараса Бульби-Боровця у місті Олевську</t>
  </si>
  <si>
    <t>0813190</t>
  </si>
  <si>
    <t>Придбання, монтаж та пусконалагодження електропарогенератора для Малинського МРТМО</t>
  </si>
  <si>
    <t>0813192</t>
  </si>
  <si>
    <t>Обласна комплексна програма соціального захисту осіб з інвалідністю, ветеранів війни та праці, пенсіонерів учасників і ветеранів визвольних змагань (ОУН-УПА) та незахищених верств населення на 2018-2022 роки</t>
  </si>
  <si>
    <t>1614081</t>
  </si>
  <si>
    <t>Забезпечення діяльності інших закладів в галузі культури і мистецтва</t>
  </si>
  <si>
    <t>1614082</t>
  </si>
  <si>
    <t>1117370</t>
  </si>
  <si>
    <t>На придбання матеріалів для проведення поточного ремонту електромережі в під'їздах житлового будинку по вулиці Гоголівській,19 для ОСББ "Сорочинці-19"</t>
  </si>
  <si>
    <t>Поточний ремонт вхідної групи Підлубівської ЗОШ І-ІІІ ст.</t>
  </si>
  <si>
    <t>1617330</t>
  </si>
  <si>
    <t>7330</t>
  </si>
  <si>
    <t>1617367</t>
  </si>
  <si>
    <t>7367</t>
  </si>
  <si>
    <t xml:space="preserve">Виконання інвестиційних проектів в рамках реалізації заходів, спрямованих на розвиток системи охорони здоров'я у сільській місцевості
</t>
  </si>
  <si>
    <t>1615033</t>
  </si>
  <si>
    <t xml:space="preserve">Забезпечення підготовки спортсменів школами вищої спортивної майстерності </t>
  </si>
  <si>
    <t>1612050</t>
  </si>
  <si>
    <t>1919540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</si>
  <si>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</si>
  <si>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періоду, всього</t>
  </si>
  <si>
    <t>придбання пристроїв для програвання компакт-дисків із звуковим записом для закладів загальної середньої освіти з метою створення умов для підготовки та проведення зовнішнього незалежного оцінювання з іноземних мов (видатки розвитку)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</si>
  <si>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</t>
  </si>
  <si>
    <t>в тому числі  на :</t>
  </si>
  <si>
    <t>оснащення кабінетів інклюзивно-ресурсних центрів (видатки розвитку)</t>
  </si>
  <si>
    <t>підтримку осіб з особливими освітніми потребами (видатки споживання)</t>
  </si>
  <si>
    <t xml:space="preserve">придбання обладнання для кабінетів української мови в закладах загальної середньої освіти з навчанням мовами національних меншин (у тому числі придбання електронних фліпчартів та мобільних стендів
до них для шкіл з навчанням румунською та угорською мовами) (видатки розвитку)
</t>
  </si>
  <si>
    <t>на придбання ноутбуків для ЗОШ І-ІІІ ст. № 26 м. Житомира</t>
  </si>
  <si>
    <t>на придбання меблів для Житомирського центру розвитку динити № 53 "АБВГДЕЙКА"</t>
  </si>
  <si>
    <t xml:space="preserve">на придбання мультимедійного комплексу та комунікацій для його монтажу для  Житомирської ЗОШ І-ІІІ ст. № 5 </t>
  </si>
  <si>
    <t>на придбання шкільних меблів, БФП (принтера, копера,сканера) та на заміну покриття підлоги для ліцею № 25 м. Житомира</t>
  </si>
  <si>
    <t>на придбання меблів для Житомирського ДНЗ № 32</t>
  </si>
  <si>
    <t xml:space="preserve">на заміну вікон та дверей, придбання та встановлення енергозберігаючих світильників, облаштування майданчика для сміттєвих баків та кронування дерев і благоустрій прибудинкової території для ОСББ "Техносервіс"в м. Житомирі </t>
  </si>
  <si>
    <t>на придбання мультимедійного обладнання в кабінет іноземної мови ЗОШ І-ІІІ ст. № 19 м. Житомира</t>
  </si>
  <si>
    <t>на придбання та встановлення вуличного демонстраційного настінного електронного годинника для ЗОШ І-ІІІст. № 8 м. Житомира</t>
  </si>
  <si>
    <t>на заміну віконних блоків у спортивній залі "Центру професійно-технічної освіти" м. Житомира</t>
  </si>
  <si>
    <t>на придбання хірургічного інструментарію для гінекологічного відділення для КУ ЦМЛ № 1 м. Житомира</t>
  </si>
  <si>
    <t>на придбання інтерактивного обладнання для ЗОШ І-ІІІ ст. № 28 м. Житомира ім. гетьмана Івана Виговського</t>
  </si>
  <si>
    <t>на заміну підлоги для  5-А класу ЗОШ І-ІІІ ст. № 6 м. Житомира ім. В.Г. Короленка</t>
  </si>
  <si>
    <t>на придбання лінолеуму в коридорне приміщення будинку за адресою: м. Житомир, пров. 1-й Фабричний, 5, для ОСББ "Перший фабричний - 5"</t>
  </si>
  <si>
    <t>на пошив костюмів та на транспортні витрати для музичної школи № 1 імені Б.М. Лятошинського м. Житомира</t>
  </si>
  <si>
    <t>на капітальний ремонт території благоустрою за адресою: м. Житомир, вул. Чуднівська, 106 для управління капітального будівництва Житомирської міської ради</t>
  </si>
  <si>
    <t>на придбання матеріалів для ремонту санвузлів початкової школи ЗОШ І-ІІІ ст. № 6 ім. В.Г. Короленка</t>
  </si>
  <si>
    <t>на придбання телевізора у класну кімнату 5-А класу  ЗОШ І-ІІІ ст. № 6 ім. В.Г. Короленка</t>
  </si>
  <si>
    <t>на придбання лінолеуму у класну кімнату 3-Б класу  ЗОШ І-ІІІ ст. № 6 ім. В.Г. Короленка</t>
  </si>
  <si>
    <t>на фінансову підтримку Житомирської міської асоціації інвалідів (на придбання сценічних костюмів для аматорського колективу ансамблю "Горлиця")</t>
  </si>
  <si>
    <t>на придбання дитячих ліжок для ДНЗ (ясла-садок) комбінованого типу № 15 "Ромашка"</t>
  </si>
  <si>
    <t>на придбання пилосмока для ДНЗ  (ясла-садок) комбінованого типу № 5 "Вербиченька"</t>
  </si>
  <si>
    <t>на придбання обладнання для  жіночої консультації Бердичівської ЦМЛ</t>
  </si>
  <si>
    <t>на створення ігрової кімнати для дитячого відділення Бердичівської ЦМЛ (придбання меблів, іграшок, канц.товарів, жалюзі, лінолеуму, плінтусів та будівельних матеріалів)</t>
  </si>
  <si>
    <t>на придбання та встановлення дитячого майданчика по вул. Миру, буд. № 4, 6, 8 для МК ВЖРЕП № 7 м. Бердичева</t>
  </si>
  <si>
    <t>на придбання телевізора для спеціалізованої ЗОШ з поглибленим вивченням окремих предметів та курсів І-ІІІ ст. № 17 м. Бердичева</t>
  </si>
  <si>
    <t>на придбання дошки для спеціалізованої ЗОШ з поглибленим вивченням окремих предметів та курсів І-ІІІ ст. № 17 м. Бердичева</t>
  </si>
  <si>
    <t>на придбання та встановлення дитячого майданчика по вул. Соборній, 9 для ОСББ "Траклін-ЖЕК"  м. Бердичева</t>
  </si>
  <si>
    <t>на придбання та встановлення дитячого ігрового майданчика на прибудинковій території житлового будинку по вул. Вінницька, 43 в м. Бердичеві</t>
  </si>
  <si>
    <t>на придбання багатофункціонального тренажера для реабілітації дітей для Центру позашкільної освіти ім. Разумкова м. Бердичева</t>
  </si>
  <si>
    <t>на придбання комп'ютерної техніки для ДНЗ (ясла-садок) комбінованого типу № 11 "Барвінок"</t>
  </si>
  <si>
    <t>на придбання комп'ютерної техніки для ЗОШ І-ІІІ ст. № 12 м. Бердичева</t>
  </si>
  <si>
    <t>на придбання комп"ютерного комплекту (системний блок, монітор, клавіатура, миша, килимок для миші, фільтр-подовжувач, БФП, кабель USB, колонки ББЖ  для амбулаторії ЗПСМ № 2 КЗ " Бердичівський міський ЦПМСД"</t>
  </si>
  <si>
    <t>на придбання комплектів постільної білизни для ДНЗ (ясла-садок) комбінованого типу № 4 "Берегиня"</t>
  </si>
  <si>
    <t>на придбання холодильника для ДНЗ (ясла-садок) комбінованого типу № 4 "Берегиня"</t>
  </si>
  <si>
    <t>на придбання морозильної камери для ДНЗ (ясла-садок) комбінованого типу № 17 "Віночок"</t>
  </si>
  <si>
    <t>на придбання швейної машинки для ДНЗ (ясла-садок) комбінованого типу № 17 "Віночок"</t>
  </si>
  <si>
    <t>на придбання міжкімнатних дверей для ДНЗ (ясла-садок) комбінованого типу № 17 "Віночок"</t>
  </si>
  <si>
    <t>на придбання вікон для спеціалізованої ЗОШ з поглибленим вивченням окремих предметів та курсів І-ІІІ ст. № 17</t>
  </si>
  <si>
    <t xml:space="preserve">на придбання мультимедійного проектора для ЗОШ І-ІІІ ст. № 6 ім. Житниченка І.В. </t>
  </si>
  <si>
    <t>на придбання спортивного інвентаря (матів) для ЗОШ І-ІІІ ст. № 6 ім. Житниченка І.В.</t>
  </si>
  <si>
    <t>на придбання ноутбука для Центру соціальної реабілітації дітей-інвалідів</t>
  </si>
  <si>
    <t>на придбання та встановлення дитячого ігрового майданчика на прибудинковій території житлового будинку по вул. Раскової, для 22 ОСББ "Берегиня-22" м. Бердичева</t>
  </si>
  <si>
    <t>на капітальний ремонт заповнень дверних прорізів в житловому будинку по вул. Вінницькій, 15 в м. Бердичеві (ПП "Житлоремекс-2")</t>
  </si>
  <si>
    <t>на придбання ноутбуків для НВК " Школа-гімназія-ліцей" № 10 м.Бердичева</t>
  </si>
  <si>
    <t>на придбання спортивного обладнання, одягу та взуття для Коростенської ДЮСШ</t>
  </si>
  <si>
    <t>на ремонт ліфта для будинку за адресою: м. Коростень, вул. Грушевського, буд. 66 А</t>
  </si>
  <si>
    <t>на придбання дитячого ігрового комплексу по вул.Мельника, 14</t>
  </si>
  <si>
    <t>на придбання мультимедійного проектора та палатки для ГО "Учасники АТО Коростенщини"</t>
  </si>
  <si>
    <t>на придбання та встановлення сучасного освітлення в 4-б класі НВК № 12 м.Коростеня</t>
  </si>
  <si>
    <t>на придбання дитячого ігрового комплексу для встановлення по вул.Б.Хмельницького, 7</t>
  </si>
  <si>
    <t>на придбання квадрокоптера для ГО "Учасники АТО Коростенщини"</t>
  </si>
  <si>
    <t>на придбання телевізора для 3-А класу НВК № 12 м.Коростеня</t>
  </si>
  <si>
    <t>на придбання дитячого ігрового комплексу по вул.Зв"язківців</t>
  </si>
  <si>
    <t>на придбання дитячого ігрового комплексу  по вул.С.Кемського, 46В</t>
  </si>
  <si>
    <t>на придбання енергозберігаючих ламп в під"їзди ОСББ "Ковельський"</t>
  </si>
  <si>
    <t>на придбання та монтаж комплексу обладнання для освітлення будинку та прилеглої території по вул.Коротуна,3А</t>
  </si>
  <si>
    <t>на фінансову підтримку (придбання медикаментів) ПОГ Коростенське УВП УТОС</t>
  </si>
  <si>
    <t>на придбання та встановлення світлодіодних світильників для Центру розвитку дитини №17 м.Коростеня</t>
  </si>
  <si>
    <t>на придбання та встановлення світлодіодних світильників на під"їздах багатоквартирних житлових будинків  м.Коростеня</t>
  </si>
  <si>
    <t>на придбання ігрових куточків для ДНЗ № 9 м. Коростеня</t>
  </si>
  <si>
    <t>на придбання резинового покриття для підлоги спортивної зали для учнів початкових класів Коростенської ЗОШ І-ІІІ ст. № 1 з поглибленим вивченням іноземних мов</t>
  </si>
  <si>
    <t>на придбання шкільних меблів (90 стільців) для Коростенської ЗОШ І-ІІІ ст.  № 1  з поглибленим вивченням іноземних мов</t>
  </si>
  <si>
    <t>на придбання шкільних меблів (45 парт) для Коростенської ЗОШ  І-ІІІ ст. № 1  з поглибленим вивченням іноземних мов</t>
  </si>
  <si>
    <t>на капітальний ремонт підлог 2-го та 4-го поверхів лікувального корпусу № 2 Новоград-Волинського міськрайонного ТМО на вул. Н. Оржевської, 13, м. Новоград-Волинський</t>
  </si>
  <si>
    <t>на поточний ремонт кардіологічного відділення Новоград-Волинського міськрай ТМО</t>
  </si>
  <si>
    <t>на будівництво хірургічного корпусу Новоград-Волинського міськрайТМО</t>
  </si>
  <si>
    <t>на заміну вікон у терапевничному відділенні Малинського МРТМО</t>
  </si>
  <si>
    <t>на підключення до мережі Інтернет та придбання ноутбука для амбулаторії ЗПСМ смт Гранітне</t>
  </si>
  <si>
    <t>на придбання технічної апаратури (принтерів, телевізора, ноутбуків) для Малинської ЗОШ І-ІІІ ст. № 5</t>
  </si>
  <si>
    <t>на придбання матеріалів для проведення ремонту музично-фізкультурної зали Малинського ДНЗ № 7</t>
  </si>
  <si>
    <t>на придбання ігрових комплексів для встановлення на прибудинкових територіях будинку № 16 та № 27 по вул. Гагаріна м. Малин</t>
  </si>
  <si>
    <t>на придбання зупиночних павільйонів для їх подальшого монтажу на зупинках по вул. Приходька (2 шт.) та по вул. Лісовий кордон, 58 (1шт.) м. Малин</t>
  </si>
  <si>
    <t>на придбання зупиночного павільйону для його подальшого монтажу на зупинці по вул. Миру м. Малин</t>
  </si>
  <si>
    <t>на придбання кардіографа для терапевтичного відділення № 2 смт Чоповичі Малинського МРТМО</t>
  </si>
  <si>
    <t>на придбання кардіографа для амбулаторії сімейної медицини с. Скурати</t>
  </si>
  <si>
    <t>на придбання принтера у кабінет початкової школи для Малинського ЗНВК "Школа -ліцей № 1 ім. Ніни Сосніної" І-ІІІ ст.</t>
  </si>
  <si>
    <t>на придбання ноутбука для Малинського ЗНВК "Школа -ліцей № 1 ім. Ніни Сосніної" І-ІІІ ст.</t>
  </si>
  <si>
    <t>на придбання столів,  тумб та стільців для Андрушівської ЦРЛ</t>
  </si>
  <si>
    <t>на придбання спортивних тренажерів для Андрушівської ЗОШ І-ІІІ ст. № 1</t>
  </si>
  <si>
    <t>на придбання мікрофонів, українських костюмів, костюма Діда Мороза та Снігуроньки для БК Кам'янобрідської селищної ради</t>
  </si>
  <si>
    <t xml:space="preserve">на придбання інвентаря та проведення змагань з футболу для ДЮСШ Бердичівського району </t>
  </si>
  <si>
    <t>на придбання ноутбука для Рейської ЗОШ І-ІІІ ст.</t>
  </si>
  <si>
    <t>на придбання телевізора для Рейської ЗОШ І-ІІІ ст.</t>
  </si>
  <si>
    <t>на придбання меблів для КУ "Центр ПМСД" Бердичівської районної ради</t>
  </si>
  <si>
    <t>на придбання та встановлення вікон для КУ "Центр ПМСД" Бердичівської районної ради</t>
  </si>
  <si>
    <t>на проведення поточного ремонту системи водопостачання для ЗДО "Перлинка" с. Скаківка</t>
  </si>
  <si>
    <t>на придбання комп"ютерної техніки (системного блоку) для централізованої бухгалтерії відділу ОКОЗСМС Брусилівської РДА</t>
  </si>
  <si>
    <t>на придбання рентгенівського випромінювача та ремонт рентгенівського апарата для Хорошівської ЦРЛ</t>
  </si>
  <si>
    <t>на виготовлення проектної документації та заміну вікон для Хорошівської ЦРЛ</t>
  </si>
  <si>
    <t>на придбання дерматоскопа з акумулятором для Хорошівської ЦРЛ</t>
  </si>
  <si>
    <t>на придбання однокамернного холодильника для харчоблоку для Хорошівської ЦРЛ</t>
  </si>
  <si>
    <t>на придбання плити електричної промислової для Хорошівської ЦРЛ</t>
  </si>
  <si>
    <t>на придбання та заміну дверного блоку парадного входу в школу, віконних рам І поверху та актової зали на металопластикові для Романівської ЗОШ І-ІІІ ст.</t>
  </si>
  <si>
    <t>на поточний ремонт фасаду для установи комунальної власності Романівської районної ради "Краєзнавчий музей Романівщини" (фасад і фронтони)</t>
  </si>
  <si>
    <t>на придбання спортивної форми для КУ Романівської районної ради "ОНЗ "Романівська гімназія"</t>
  </si>
  <si>
    <t>на заміну вікон та вхідних дверей для ФП с. Химрич</t>
  </si>
  <si>
    <t>на придбання літератури для Романівської районної бібліотеки для дорослих</t>
  </si>
  <si>
    <t>на придбання бензопил та цепів для Врублівської ЗОШ І-ІІІст.</t>
  </si>
  <si>
    <t>на придбання акустичної гітари для народного вокального ансамблю "Сузір"я" КУ "Романівський районний Будинок культури" Романівської районної ради</t>
  </si>
  <si>
    <t>на придбання електричної гітари для КУ "Романівська школа мистецтв" Романівської районної ради</t>
  </si>
  <si>
    <t>на поточний ремонт Хутір-Мокляківської ЗОШ І-ІІ ст. (заміна дверей в приміщенні школи)</t>
  </si>
  <si>
    <t>на придбання комп"ютерного комплексу та шкільних стендів для Кулішівської ЗОШ І-ІІІ ст.</t>
  </si>
  <si>
    <t>на придбання спортивного інвентаря для Варварівської, Яблунецької, Сімаківської, Степанівської, Рихальської, Миколаївської ЗОШ І-ІІІ ст.</t>
  </si>
  <si>
    <t>на проведення поточного ремонту освітлення спортивної зали в Степанівській ЗОШ І-ІІІ ст.</t>
  </si>
  <si>
    <t>на поточний ремонт приміщення (заміна вікон, дверей) АЗПСМ у с.Яблунець КУ "Ємільчинський Центр ПМСД"</t>
  </si>
  <si>
    <t>на придбання інтерактивного комплексу для Глибочицької ЗОШ І-ІІІ ст.</t>
  </si>
  <si>
    <t>на придбання ноутбука для клубу у с. Клітчин Левківської сільської ради</t>
  </si>
  <si>
    <t>на придбання швецьких стінок "Малюк", гімнастичних лав, баскетбольного щита, волейбольної сітки, шкільної дошки, спортивного інвентаря для Березинської ЗОШ І ст.</t>
  </si>
  <si>
    <t>на придбання спортивного інвентаря для Черемошнянської ЗОШ І-ІІ ст.</t>
  </si>
  <si>
    <t>на придбання шкільних дошок та ноутбука для Вересівської ЗОШ І-ІІІ ст.</t>
  </si>
  <si>
    <t>на придбання футбольної форми та футбольних м"ячів для КУ "Новогувинська комплексна дитячо-юнацька спортивна школа" Житомирської районної ради</t>
  </si>
  <si>
    <t>на придбання футбольної форми для ФК " Сокіл" Новогуйвинської комплексної ДЮСШ Житомирської районної ради</t>
  </si>
  <si>
    <t>на придбання шкільних меблів для Васьковицької середньої ЗОШ І-ІІІ ст.</t>
  </si>
  <si>
    <t>на придбання стендів для Васьковицької середньої ЗОШ І-ІІІ ст.</t>
  </si>
  <si>
    <t>на придбання та встановлення дверей для ДНЗ "Сонечко" с. Лісівщина</t>
  </si>
  <si>
    <t>на придбання та встановлення вікон та дверей для Будинку культури с. Лісівщина</t>
  </si>
  <si>
    <t>на придбання костюмів для хору с. Білошиці</t>
  </si>
  <si>
    <t>на придбання ноутбука для Ставищенської сільської ради</t>
  </si>
  <si>
    <t>на придбання шкільної стінки для Васьковицької  середньої ЗОШ І-ІІІ ст.</t>
  </si>
  <si>
    <t>на придбання більярдного столу, київ, шарів, тенісного столу, ракеток, сітки для тенісу для Стремигороського Будинку культури</t>
  </si>
  <si>
    <t>на придбання пластикових ламінованих стендів для Васьковицької середньої ЗОШ І-ІІІ ст.</t>
  </si>
  <si>
    <t>на придбання постільної білизни, простирадел та іграшок для Хотинівського ДНЗ "Теремок"</t>
  </si>
  <si>
    <t>на придбання дитячих столиків, стільців та магнітних дошок для Грозинського ДНЗ загального розвитку "Зірочка"</t>
  </si>
  <si>
    <t>на поточний ремонт ДНЗ для с. Хотинівка</t>
  </si>
  <si>
    <t>на придбання телевізора та класної дошки для Студеницької ЗОШ І-ІІІ ст.</t>
  </si>
  <si>
    <t>на придбання ксекроксу та ноутбука для Кошарищенської ЗОШ І-ІІ ст.</t>
  </si>
  <si>
    <t>на придбання бетонних плит і стовпів огорожі для Гуменецької сільської ради</t>
  </si>
  <si>
    <t>на придбання електричного котла та комп"ютера для Вільнянської сільської ради</t>
  </si>
  <si>
    <t>на придбання оргтехніки (системний блок, монітор, БФП-принтер) для Лугинського районного ЦПМСД</t>
  </si>
  <si>
    <t>на придбання мультимедійного проектора та відеокамери для районного Будинку культури</t>
  </si>
  <si>
    <t>на придбання вхідних дверей для Будинку культури у с. Липники</t>
  </si>
  <si>
    <t>на придбання проектора та дошки для Лугинської музичної школи</t>
  </si>
  <si>
    <t>на проведення конкурсів та нагород на виконання заходів, передбачених п.6 Програми забезпечення депутатської діяльності, проведення конкурсів та нагород районної ради на 2018-2019 роки   для Лугинської районної ради</t>
  </si>
  <si>
    <t>на придбання матеріалів та проведення ремонту санвузла для НВК "Школа-дитячий садок" ім. П.П. Бовсунівського</t>
  </si>
  <si>
    <t>на придбання металопластикових дверей для Березівської ЗОШ І-ІІІ ст.</t>
  </si>
  <si>
    <t>на придбання мікроскопа для Коваленківської ЗОШ І-ІІ ст.</t>
  </si>
  <si>
    <t>на придбання світильників у кабінет хімії для Мотовилівської ЗОШ І-ІІІ ст.</t>
  </si>
  <si>
    <t>на придбання шкільних дошок для Вигнанської ЗОШ І-ІІ ст.</t>
  </si>
  <si>
    <t>на придбання плитки,клеючої суміші, на заміну дверей та придбання лінолеуму для проведення  ремонтних робіт у Любарській ЦРЛ</t>
  </si>
  <si>
    <t>на придбання меблів для ФАП с. Малий Браталів</t>
  </si>
  <si>
    <t>на придбання інтерактивної дошки для Глезненської ЗОШ І-ІІІ ст.</t>
  </si>
  <si>
    <t>на придбання шприцевого насосу та портативного монітора пацієнта для відділення анестезіології та інтенсивної терапії Любарської ЦРЛ</t>
  </si>
  <si>
    <t>на придбання постільної білизни та рушників для ДНЗ "Дзвіночок" смт Гранітне</t>
  </si>
  <si>
    <t xml:space="preserve">на придбання ноутбука, лазерного принтера для Скуратівської ЗОШ І-ІІІ ст. </t>
  </si>
  <si>
    <t xml:space="preserve">на вуличне освітлення для с. Забране Луківської сільської ради </t>
  </si>
  <si>
    <t>на придбання ноутбука для Ксаверівського НВК "ДНЗ-ЗНЗ І-ІІ ст."</t>
  </si>
  <si>
    <t>на підключення до мережі Інтернет класних кімнат для Гранітнянської ЗОШ І-ІІІ ст.</t>
  </si>
  <si>
    <t>на придбання вуличного освітлення для с. Забране</t>
  </si>
  <si>
    <t>на придбання ноутбука для Владівського НВК "ДНЗ І-ІІ ст."</t>
  </si>
  <si>
    <t>на придбання обігравачів для Будинку культури с. Скурати</t>
  </si>
  <si>
    <t>на придбання вхідних металевих дверей для клубу с. Владівка Владівської сільської ради</t>
  </si>
  <si>
    <t>на придбання лазерного принтера для Скуратівської сільської ради</t>
  </si>
  <si>
    <t>на придбання стільців для клубу с. Діброва Дібрівської сільської ради</t>
  </si>
  <si>
    <t>на придбання ноутбука для ДНЗ "Їжачок" с. Головки Головківської сільської ради</t>
  </si>
  <si>
    <t>на проведення ремонту клубу с. Різня Малинівської сільської ради</t>
  </si>
  <si>
    <t>на придбання ноутбука і лазерного принтера (3 в 1) для Ворсівського НВК "ДНЗ ЗНЗ І-ІІ ст."</t>
  </si>
  <si>
    <t>на придбання плазмового телевізора та кріплення до нього для Українківської ЗОШ І-ІІІ ст.</t>
  </si>
  <si>
    <t>на придбання медичного обладнання та виробів медичного призначення для  Лебедівської, Пищівської та Пилиповецької амбулаторій ЗПСМ КЗ"Центр ПМСД Новоград-Волинського району"</t>
  </si>
  <si>
    <t>на передплату районної газети "Овруцький голос" для учасників АТО</t>
  </si>
  <si>
    <t>на фінансову підтримку Овруцької районної організації ветеранів</t>
  </si>
  <si>
    <t>на придбання ліхтарів, ламп та обладнання на відновлення вуличного освітлення по вулицях: Польова, Незалежності, Відродження с. Кам'янка</t>
  </si>
  <si>
    <t>на заміну вікон у хірургічному відділенні Попільнянської ЦРЛ</t>
  </si>
  <si>
    <t>на ремонт протишокової палати у приймальному відділенні Попільнянської ЦРЛ</t>
  </si>
  <si>
    <t>на придбання щебіню і відсіву для проведення ямкового ремонту комунальних доріг Білківської сільської ради</t>
  </si>
  <si>
    <t>на придбання та встановлення зупинки для с. Красногірка</t>
  </si>
  <si>
    <t>на придбання столів та лавок для приміщення Будинку культури с. Липки</t>
  </si>
  <si>
    <t>на придбання оргтехніки (комп'ютер, принтер) в кабінет психолога для Бистрицької ЗОШ І-ІІІ ст.</t>
  </si>
  <si>
    <t>на придбання медикаментів та перев"язувальних матеріалів для Ружинської ЦРЛ</t>
  </si>
  <si>
    <t>на придбання предметів, матеріалів, обладнання та інвентарю для Ружинської ЦРЛ</t>
  </si>
  <si>
    <t>на поточний ремонт медичного обладнання та інших послуг для Ружинської ЦРЛ</t>
  </si>
  <si>
    <t>на придбання медичного обладнання для Ружинської ЦРЛ</t>
  </si>
  <si>
    <t>на виготовлення проектно-кошторисної документації для реконструкції глядацької зали районного кінотеатру під молодіжний культурно-спортивний комплекс</t>
  </si>
  <si>
    <t>на придбання приставки турбінної, пневмомотору, компресору та  наконечників для кабінету зубного лікаря Стрибізької АЗПСМ</t>
  </si>
  <si>
    <t>на капітальний ремонт зовнішнього вуличного освітлення для с. Павлівка</t>
  </si>
  <si>
    <t>на придбання комп"ютерного обладнання, ноутбуків для КУ "Центральна районна лікарня Пулинської районної ради"</t>
  </si>
  <si>
    <t>на придбання матеріалів та поточного ремонту в приміщенні харчоблоку для КУ "Центральна районна лікарня Пулинської районної ради"</t>
  </si>
  <si>
    <t>на придбання швейної машинки, волейбольних мячів, фарб, розчинника, вапна, пензлів для Видиборського ліцею інформаційних технологій</t>
  </si>
  <si>
    <t xml:space="preserve">на придбання шаф дитячих з фігурними дверима для групи "Квіточка" Головинського ДНЗ "Дзвіночок" </t>
  </si>
  <si>
    <t>на придбання ноутбуків та принтерів для КУ "Центр ПМСД" Черняхівської районної ради</t>
  </si>
  <si>
    <t xml:space="preserve">на придбання телевізора для кабінету географії Головинської гімназії </t>
  </si>
  <si>
    <t>на придбання духового інструменту - тенора для ПСМНЗ "Черняхівська музична школа"</t>
  </si>
  <si>
    <t>на виготовлення проектно-кошторисної документації та проведення експертизи капітального ремонту будівель Горбулівської ЗОШ І-ІІІ ст. ім. В.Н. Мартиненка</t>
  </si>
  <si>
    <t>на придбання ноутбука для Жадьківського колегіуму</t>
  </si>
  <si>
    <t>на придбання радіатора для ремонту шкільного автобуса Андріївської ЗОШ І-ІІІ ст.</t>
  </si>
  <si>
    <t>на придбання учнівських парт, стільців, дошки для Салівської ЗОШ І-ІІ ст.</t>
  </si>
  <si>
    <t>на придбання учнівських парт для Стиртівської ЗОШ І-ІІ ст.</t>
  </si>
  <si>
    <t>на придбання постільної білизни для Черняхівського ТМО</t>
  </si>
  <si>
    <t>на придбання килимових доріжок для Селянщинського спортивного ліцею ім. О. Голяченка</t>
  </si>
  <si>
    <t>на придбання кушетки, ростоміра, ваги для медичного кабінету ДНЗ № 4 смт. Черняхів</t>
  </si>
  <si>
    <t xml:space="preserve">на заміну вікон для ФАП с. Новосілки </t>
  </si>
  <si>
    <t>на придбання ноутбука для Селянщинського спортивного ліцею ім. О. Голяченка</t>
  </si>
  <si>
    <t>на придбання медалей, кубків для методичного кабінету відділу освіти Черняхівської РДА</t>
  </si>
  <si>
    <t>на придбання стільців для Головинської гімназії</t>
  </si>
  <si>
    <t>на придбання системного блоку для централізованої бухгалтерії відділу освіти Черняхівської РДА</t>
  </si>
  <si>
    <t>на придбання дитячих ліжок з матрацами для дошкільного закладу № 2 с. Новосілки</t>
  </si>
  <si>
    <t>на придбання вішалок для одягу для Селянщинського спортивного ліцею ім. О.Голяченка</t>
  </si>
  <si>
    <t>на придбання офісних меблів для Черняхівських дитячих ясел-садка № 1</t>
  </si>
  <si>
    <t>на придбання бандури для початкового спеціалізованого мистецького НЗ "Черняхівська музична школа"</t>
  </si>
  <si>
    <t>на придбання ноутбука для кабінету музики  Черняхівської ЗОШ І-ІІІ ст.</t>
  </si>
  <si>
    <t>на проведення розрахунків за виконані проектні роботи по об"єкту "Капітальний ремонт котельні" для Селянщинського спортивного ліцею ім. О. Голяченка</t>
  </si>
  <si>
    <t>на придбання та встановлення світодіодного освітлення в спортивному залі для Селящинського спортивного ліцею ім. О. Голяченка</t>
  </si>
  <si>
    <t>на придбання будівельних матеріалів для Селянщинського спортивного ліцею  ім. О. Голяченка</t>
  </si>
  <si>
    <t>на придбання телевізора для ДНЗ с. Селянщина</t>
  </si>
  <si>
    <t>на встановлення стенду для Черняхівської гімназії</t>
  </si>
  <si>
    <t>на придбання пластикової вагонки для поточного ремонту стелі у приміщенні сільського клубу с. Мокренщина Пекарщинської сільської ради</t>
  </si>
  <si>
    <t>на придбання класних дошок для Черняхівської гімназії</t>
  </si>
  <si>
    <t>на придбання столів для методкабінету КПНЗ "Черняхівський Будинок дитячої та юнацької творчості"</t>
  </si>
  <si>
    <t>на придбання проектора для КПНЗ "Черняхівський будинок дитячої та юнацької творчості" Черняхівської районної ради</t>
  </si>
  <si>
    <t>на придбання та встановлення дорожніх знаків з підсвіткою в межах смт Черняхів</t>
  </si>
  <si>
    <t>на придбання енергозберігаючих вікон для сільського Будинку культури с. Клітище</t>
  </si>
  <si>
    <t>на придбання металопластикових вхідних дверей та металопластикових віконних конструкцій для Черняхівської ДЮСШ</t>
  </si>
  <si>
    <t>на придбання шаф файлових відкритих та столів аудиторних для ПСМНЗ "Черняхівська музична школа"</t>
  </si>
  <si>
    <t>на поточний ремонт покрівлі для ФАП с. Видибор Видиборської сільської ради</t>
  </si>
  <si>
    <t>на придбання дитячого майданчика для ДНЗ с. Селянщина</t>
  </si>
  <si>
    <t xml:space="preserve">на придбання спортивного інвентаря та футбольної форми для Салівської сільської раді </t>
  </si>
  <si>
    <t>на придбання меблів для ДНЗ "Ромашка" с. Очеретянка</t>
  </si>
  <si>
    <t>на придбання матеріалів для перекриття даху приміщення ДНЗ Бежівської сільської ради</t>
  </si>
  <si>
    <t>на придбання дитячого ігрового майданчика для облаштування дитячої площадки Іванопільської селищної ради</t>
  </si>
  <si>
    <t>на придбання ліжок та матраців для Чуднівського спортивно-оздоровчого табору "Корчагінець"</t>
  </si>
  <si>
    <t>на придбання лінолеуму для Вакуленчуківського ДНЗ "Берізка"</t>
  </si>
  <si>
    <t>на придбання проектора та холодильника для Стовпівської ЗОШ І-ІІ ст.</t>
  </si>
  <si>
    <t>на придбання та встановлення вікон у Чуднівській АЗПСМ КУ "Чуднівський ЦПМСД"</t>
  </si>
  <si>
    <t>на придбання електроводонагрівача у фізіотерапевтичне відділення Чуднівської ЦРЛ</t>
  </si>
  <si>
    <t>на проведення ремонту, заміну віконних та дверних блоків у фізіотерапевтичному відділенні Чуднівської ЦРЛ</t>
  </si>
  <si>
    <t>на придбання морозильної камери, виробничого столу та стелажу для харчоблоку Вільшанського ДНЗ</t>
  </si>
  <si>
    <t xml:space="preserve">на придбання мотокоси, електром'ясорубки та електросковороди для Красносільської ЗОШ І-ІІІ ст. </t>
  </si>
  <si>
    <t>на придбання стендів у кабінет інформатики № 1 КЗ"Чуднівський ліцей"</t>
  </si>
  <si>
    <t>на придбання стендів у кабінет інформатики № 2 КЗ"Чуднівський ліцей"</t>
  </si>
  <si>
    <t>на придбання телевізова для КЗ"Чуднівський ліцей"</t>
  </si>
  <si>
    <t>на придбання проектора та ноутбука для Чуднівської ЦРЛ</t>
  </si>
  <si>
    <t>на придбання плазмового телевізора для Чуднівської ЗОШ І-ІІІ ст.№ 2</t>
  </si>
  <si>
    <t>на придбання телевізора для Будичанської ЗОШ І-ІІІ ст.</t>
  </si>
  <si>
    <t>на придбання мультимедійної дошки для Вільшанської ЗОШ І-ІІІ ст.</t>
  </si>
  <si>
    <t>на придбання пральної машини, електром'ясорубки, котла для приготування їжі, електричної плити з шафою, морозильної камери для Іршанського НВК "Гімназія- ДНЗ"</t>
  </si>
  <si>
    <t>на придбання світильників для Іршанського НВК "Гімназія - ДНЗ"</t>
  </si>
  <si>
    <t>на придбання світильників для Добринського НВК "ДНЗ- ЗНЗ І-ІІІ ст."</t>
  </si>
  <si>
    <t>на придбання електроплити для шкільної їдальні опорного закладу "Новоборівський ЗНЗ І-ІІІ ст. - ліцей"</t>
  </si>
  <si>
    <t>на придбання меблів (роздвижні крісла), пожежного екіпірування, спорядження (пожежна каска), тонометра для Новоборівської місцевої пожежної охорони</t>
  </si>
  <si>
    <t>на придбання сміттєвих баків для Новоборівської селищної ради</t>
  </si>
  <si>
    <t>на придбання обладнання та встановлення камер відеоспостереження для Новоборівської селищної ОТГ</t>
  </si>
  <si>
    <t>на придбання шкільної дошки та телевізора для 1-А класу Новоборівської гімназії</t>
  </si>
  <si>
    <t>на придбання та встановлення металопластикових вікон і дверей для ФП с. Фасова</t>
  </si>
  <si>
    <t xml:space="preserve">на поточний ремонт огорожі кладовища для с. Небіж </t>
  </si>
  <si>
    <t>на придбання та встановлення комплексної системи відеоспостереження у смт Нова Борова</t>
  </si>
  <si>
    <t>на заміну віконних блоків в адмінбудинку с. Лучин</t>
  </si>
  <si>
    <t>на придбання музичного центру в Центр дозвілля молоді с. Лисівка</t>
  </si>
  <si>
    <t>на придбання та встановлення пластикових вікон в ФП с. Турбівка</t>
  </si>
  <si>
    <t>на придбання обладнання для встановлення відеоспостереження в приміщенні опорно навчального закладу "Корнинський НВК "ЗОШ І ступеня-гімназія"</t>
  </si>
  <si>
    <t>на придбання комп"ютерної техніки для Баранівської міської ради</t>
  </si>
  <si>
    <t>на придбання бензопил для старостатів Баранівської міської ради</t>
  </si>
  <si>
    <t>на придбання ноутбука для Баранівського міського Будинку культури ім.А.Пашкевича</t>
  </si>
  <si>
    <t>на придбання БФП (принтер, сканер, ксерокс) для управління соціального захисту населення Баранівської міської ради</t>
  </si>
  <si>
    <t>на придбання телевізора, ноутбука  Баранівського ЗДОКТ "Сонечко" та БФП для відділу освіти Баранівської міської ради</t>
  </si>
  <si>
    <t>на придбання БФП для відділу освіти Баранівської міської ради</t>
  </si>
  <si>
    <t>на надання фінансової підтримки Коростишівській громадській організації ветеранів Чорнобильської катастрофи "Дзвони Чорнобиля"</t>
  </si>
  <si>
    <t>на придбання музичної апаратури для Коростишівського НВК "Спеціалізована школа І ст. -гімназія" ім. О.Ольжича</t>
  </si>
  <si>
    <t>на придбання звукової апаратури для Коростишівського Будинку культури</t>
  </si>
  <si>
    <t>на поточний ремонт кімнати 10, 12 для КП "Коростишівський комунальник"</t>
  </si>
  <si>
    <t>на придбання електроплити та вхідних дверей для шкільної їдальні Більковецької ЗОШ І-ІІІ ст.</t>
  </si>
  <si>
    <t>на придбання діапроектора та 2-секційної мийки для харчоблоку Коростишівського ДНЗ ясла-садок № 13 "Ялинка"</t>
  </si>
  <si>
    <t>на придбання килиму для ДНЗ с. Стовпинка</t>
  </si>
  <si>
    <t>на придбання насосу для Олевської ОТГ (смт Новоозерянка)</t>
  </si>
  <si>
    <t>на заміну вікон та придбання ноутбука для Сущанської ЗОШ І-ІІ ст.</t>
  </si>
  <si>
    <t>на придбання іграшок, дитячої літератури, бактерицидної лампи для ДНЗ с. Покровське</t>
  </si>
  <si>
    <t xml:space="preserve">на проведення поточного ремонту системи освітлення спортивної зали Жубровицької ЗОШ І-ІІІ ст. </t>
  </si>
  <si>
    <t>на придбання гардин та тюлі для Кишинської ЗОШ І-ІІІ ст.</t>
  </si>
  <si>
    <t>на придбання спортивного інвентарю для Олевської ДЮСШ спортивної боротьби (філія с. Тепениця)</t>
  </si>
  <si>
    <t>на придбання ноутбука та фотоапарата для Олевської ДЮСШ</t>
  </si>
  <si>
    <t>на придбання смужок для глюкометра, тонометра з фонендоскопом та ксероксу для ФАП с. Стовпинка</t>
  </si>
  <si>
    <t>на придбання кухонного обладнання (промислової витяжки та комплектуючих) для ДНЗ "Чебурашка" у с. Жубровичі</t>
  </si>
  <si>
    <t>на виготовлення проектно-кошторисної документації капітального ремонту даху приміщення будівлі клініко-діагностичної лабораторії та адмінприміщення КУ "Олевська ЦЛ"</t>
  </si>
  <si>
    <t>на придбання металопластикових дверей в травматологічне віділення КУ "Олевська ЦЛ"</t>
  </si>
  <si>
    <t>на придбання шприцевих насосів для КУ "Олевська ЦЛ"</t>
  </si>
  <si>
    <t>на придбання відсмоктувачів медичних "Біомед" для КУ "Олевська ЦЛ"</t>
  </si>
  <si>
    <t>на придбання електрокоагулятора для КУ "Олевська ЦЛ"</t>
  </si>
  <si>
    <t>на придбання рентген касети з посилюючим екраном для КУ "Олевська ЦЛ"</t>
  </si>
  <si>
    <t xml:space="preserve">на придбання телевізора для 3-В класу Олевської ЗОШ І-ІІІ ст. № 3 </t>
  </si>
  <si>
    <t>на придбання металопластикових дверей для 6-Б класу Олевської ЗОШ І-ІІІ ст.  № 3</t>
  </si>
  <si>
    <t>на придбання ноутбука для спеціалізованого класу біології Олевської гімназії</t>
  </si>
  <si>
    <t>на придбання принтера для відділу освіти, молоді та спорту Олевської міської ради</t>
  </si>
  <si>
    <t>на  поточний ремонт системи освітлення спортивної зали для Жубровицької ЗОШ І-ІІІ ст.</t>
  </si>
  <si>
    <t>на придбання кухонного обладнання та посуду для Хочинської ЗОШ І-ІІІ ст.</t>
  </si>
  <si>
    <t>на придбання водонагрівача (бойлера) для Хочинської ЗОШ І-ІІІ ст.</t>
  </si>
  <si>
    <t>на придбання фотопринтера та цифрового фотоапарата для Майданської ЗОШ І-ІІІ ст.</t>
  </si>
  <si>
    <t>на придбання 4-х настінних дошок для початкових класів Сущанської ЗОШ І-ІІІ ст.</t>
  </si>
  <si>
    <t>на придбання металопластикових вікон для Сущанської ЗОШ І-ІІІ ст.</t>
  </si>
  <si>
    <t>на придбання проектора та екрану для Лопатицької ЗОШ І-ІІІ ст.</t>
  </si>
  <si>
    <t>на придбання мультимедійної дошки (проектора та екрану) для Покровської ЗОШ І-ІІІ ст.</t>
  </si>
  <si>
    <t>на виготовлення проектно-кошторисної документації на спорудження даху багатоквартирного будинку за адресою: м. Олевськ, вул. Свято-Миколаївська, 87 А</t>
  </si>
  <si>
    <t>на придбання ноутбука для Будинку культури с. Калинівка</t>
  </si>
  <si>
    <t>на придбання принтера для адміністративного приміщення с. Журбовичі</t>
  </si>
  <si>
    <t>на придбання дитячих меблів для ДНЗ № 35 "Пролісок" с. Юрове</t>
  </si>
  <si>
    <t>на придбання вхідних дверей для молодшої групи Лопатицького ЗДО № 18 "Дзвіночок"</t>
  </si>
  <si>
    <t xml:space="preserve">на придбання обігрівача для дитячого садочка с. Майдан </t>
  </si>
  <si>
    <t>на придбання сценічних костюмів для Олевського центру художньо-естетичної творчості учнівської молоді</t>
  </si>
  <si>
    <t>на придбання постільної білизни для неврологічного відділення  КУ "Олевська ЦЛ"</t>
  </si>
  <si>
    <t>на придбання комп"ютерної техніки для КЗ "Олевський РЦПМСД"</t>
  </si>
  <si>
    <t>на придбання спортивного інвентаря для КУ "Олевська дитячо-юнацька спортивна школа"</t>
  </si>
  <si>
    <t>на придбання стільців для Дивинського сільського Будинку культури</t>
  </si>
  <si>
    <t>Капремонт Брусилівського селищного Будинку культури</t>
  </si>
  <si>
    <t>на проведення спортивних заходів  для Лугинської селищної ради</t>
  </si>
  <si>
    <t>на поточний ремонт водонапірної башти Рожновського та водомережі по вулиці Монастирській у с.Колодяжне Романівського району Житомирської області</t>
  </si>
  <si>
    <t>на придбання акустичної системи, радіомікрофону та кабелю для Строківської ЗОШ І-ІІІ ст.</t>
  </si>
  <si>
    <t>на придбання автономної акустичної системи (DVD - підпилювач) для Центру дозвілля с. Новоселиця</t>
  </si>
  <si>
    <t>на придбання щебіню і відсіву для підсипки доріг по вулицях с. Голуб'ятин</t>
  </si>
  <si>
    <t>на придбання меблів для Попільнянського центру дитячої та юнацької творчості</t>
  </si>
  <si>
    <t>на придбання швейної машини для швейного цеху КУ "Центр соціальних послуг Попільнянської селищної ради"</t>
  </si>
  <si>
    <t>на закупівлю матеріалів для проведення ремонтних робіт для амбулаторії загальної практики сімейної медицини с. Андрушки</t>
  </si>
  <si>
    <t>на придбання теплогенератора для Будинку культури смт Хорошів</t>
  </si>
  <si>
    <t>на проведення поточного ремонту  Грушківського Будинку культури</t>
  </si>
  <si>
    <t>на придбання матеріалів, ліхтарів, ламп для проведення вуличного освітлення в с. Сколобів по вул. Гагаріна, Ватутіна, Мічуріна, Пушкіна, Садова, Л.Українки, Шевченка</t>
  </si>
  <si>
    <t>на проведення ремонту та придбання навчальних стендів у кабінет історії Рижанської гімназії</t>
  </si>
  <si>
    <t>на придбання іграшок для Рижанського ЗДО "Горобинка"</t>
  </si>
  <si>
    <t>на придбання матеріалів, ліхтарів, ламп для відновлення вуличного освітлення у с. Паромівка</t>
  </si>
  <si>
    <t>на придбання світильників для Рижанської гімназії</t>
  </si>
  <si>
    <t>на придбання теплогенератора для Хорошівського Будинку культури</t>
  </si>
  <si>
    <t>на поточний ремонт даху для Будинку культури с. Грушки</t>
  </si>
  <si>
    <t>на придбання мотокоси, тенісного столу, класної дошки, кварцової лампи Йосипівському НВК "ДНЗ-ЗНЗ І-ІІ ст."</t>
  </si>
  <si>
    <t>на придбання комп'ютерної техніки (ноутбук, принтер) для Чоповицького ЗНВК "Гімназія - ЗНЗ І-ІІІ ст. - ДНЗ"</t>
  </si>
  <si>
    <t xml:space="preserve">на придбання меблів для  Чоповицької селищної ради </t>
  </si>
  <si>
    <t>на придбання комп"ютерного обладнання (ноутбука, проектора, принтера, екрана), станції для ламінування для облаштування 1-х класів  Чоповицького ЗНВК "Гімназія - ЗНЗ І-ІІІ ст. - ДНЗ"</t>
  </si>
  <si>
    <t xml:space="preserve">на придбання пластикових вікон, стендів, бандо в актову залу, електрорушників, електронних вагів, картриджів для принтерів, дезінфікуючих засобів, комплекту "Впевнений старт" для Чоповицького ЗНВК "Гімназія - ЗНЗ І-ІІІ ст. - ДНЗ" </t>
  </si>
  <si>
    <t>на придбання класних дошок та волейбольної сітки для Йосипівського НВК "ДНЗ - ЗНЗ І-ІІ ст."</t>
  </si>
  <si>
    <t>на придбання проектора для Макарівської ЗОШ І-ІІІ ст.</t>
  </si>
  <si>
    <t>на придбання та встановлення вхідних дверей для Центру дозвілля с. Василівка</t>
  </si>
  <si>
    <t>на придбання принтера для Киянської ЗОШ І-ІІІ ст.</t>
  </si>
  <si>
    <t>на придбання принтера для Ганнопільського старостинського округу</t>
  </si>
  <si>
    <t>на придбання м"ячів для Барашівської ЗОШ І-ІІІ ст.</t>
  </si>
  <si>
    <t>на ремонт підлоги у ФП с.Бастова Рудня</t>
  </si>
  <si>
    <t>на придбання пластикових дверей для туалетів Новобілокоровицької ЗОШ І-ІІІ ст. № 3</t>
  </si>
  <si>
    <t>на придбання стільців та класних дошок для Вільської ЗОШ І-ІІІ ст.</t>
  </si>
  <si>
    <t xml:space="preserve">на придбання класних дошок для Новопільської ЗОШ І-ІІІ ст. </t>
  </si>
  <si>
    <t>на придбання ноутбука для  амбулаторії с. Квітневе</t>
  </si>
  <si>
    <t>на придбання та заміну вікон для Стетковецької ЗОШ І-ІІІ ст.</t>
  </si>
  <si>
    <t>на придбання меблів для Іванковецької ЗОШ І-ІІІ ст.</t>
  </si>
  <si>
    <t>на придбання та встановлення метало-пластикових вікон для Іванковецької ЗОШ І-ІІІ ст.</t>
  </si>
  <si>
    <t>на придбання меблів для Іванковецького ДНЗ "Журавлик" Семенівської сільської ради</t>
  </si>
  <si>
    <t>на заміну електропроводки у приміщенні  Терехівської ЗОШ І-ІІ ст. Семенівської сільської ради</t>
  </si>
  <si>
    <t>на придбання спортивного інвентаря для Великонизгірецької ЗОШ І-ІІІ ст.Семенівської сільської ради</t>
  </si>
  <si>
    <t>на придбання офісної техніки для Великонизгірецької ЗОШ І-ІІІ ст.Семенівської сільської ради</t>
  </si>
  <si>
    <t xml:space="preserve">на придбання двох акустичних систем для Будинку культури с. Великі Низгірці Семенівської селищної ради </t>
  </si>
  <si>
    <t xml:space="preserve">на придбання фотоапарату для бібліотеки с. Великі Низгірці Семенівської селищної ради </t>
  </si>
  <si>
    <t xml:space="preserve">на придбання принтера для бібліотеки с. Великі Низгірці Семенівської селищної ради </t>
  </si>
  <si>
    <t>на придбання спортивного обладнання для клубу с. Скоморохи</t>
  </si>
  <si>
    <t>на придбання тренажерів та обладнання для спортивного залу Пісківської ЗОШ І-ІІІ ст.</t>
  </si>
  <si>
    <t>на придбання апаратури для клубу с. Кутище</t>
  </si>
  <si>
    <t>на придбання апаратури для клубу с. Семенівка</t>
  </si>
  <si>
    <t>на придбання апаратури для Будинку культури с. Коростки</t>
  </si>
  <si>
    <t>на придбання металопластикових дверей для закладу дошкільної освіти "Малятко" с. Привітів</t>
  </si>
  <si>
    <t>на придбання дитячого ігрового майданчика для с.Громада</t>
  </si>
  <si>
    <t>на заміну вікон в Листвинській ЗОШ І-ІІІ ст.</t>
  </si>
  <si>
    <t>на придбання пластикових вікон для Можарівської ЗОШ І-ІІІ ст.</t>
  </si>
  <si>
    <t>на придбання предметів, матеріалів, обладнання та інвентарю, на придбання матеріалів та обладнання довготривалого користування та на оплату послуг для Лучанківської ЗОШ І-ІІІ ст.</t>
  </si>
  <si>
    <t>на придбання предметів і матеріалів для утеплення фасаду Словечанського закладу дошкільної освіти, с. Словечне</t>
  </si>
  <si>
    <t>на придбання предметів і матеріалів для поточного ремонту приміщення сільського клубу в с. Білка</t>
  </si>
  <si>
    <t>на придбання твердопаливного котла для сільського клубу в с. Городець</t>
  </si>
  <si>
    <t>на придбання дитячого майданчика с. Городець</t>
  </si>
  <si>
    <t>на придбання обладнання  і предметів довгострокового користування  для облаштування території у с. Словечно</t>
  </si>
  <si>
    <t>на придбання розподільчих колонок і каналізаційних люків для с. Тхорин</t>
  </si>
  <si>
    <t>на придбання предметів і матеріалів та на оплату послуг по поточному ремонту для Словечанського ЗДО</t>
  </si>
  <si>
    <t>на придбання предметів і матеріалів для вуличного освітлення с. Усове</t>
  </si>
  <si>
    <t>на придбання предметів і матеріалів для вуличного освітлення с. Черевки</t>
  </si>
  <si>
    <t>на придбання предметів і матеріалів для вуличного освітлення с. Лучанки, с. Возничі</t>
  </si>
  <si>
    <t>на придбання предметів і матеріалів для вуличного освітлення с. Верпа</t>
  </si>
  <si>
    <t>на придбання розподільчих колонок і каналізаційних люків для с. Можари</t>
  </si>
  <si>
    <t>на придбання предметів і матеріалів для поточного ремонту приміщення сільського клубу у с. Антоновичі</t>
  </si>
  <si>
    <t>на придбання бензопили та кущоріза для с. Листвин</t>
  </si>
  <si>
    <t>на придбання бензопили та кущоріза для с. Черевки</t>
  </si>
  <si>
    <t>на придбання бензопили та кущоріза для с. Можари</t>
  </si>
  <si>
    <t>на придбання кущоріза для с. Усове</t>
  </si>
  <si>
    <t>на придбання предметів і матеріалів для благоустрою населених пунктів Словечанської сільської ради</t>
  </si>
  <si>
    <t>на придбання звукопідсилюючого комплекту для ОНЗ "Словечанська ЗОШ І-ІІІ ст."</t>
  </si>
  <si>
    <t xml:space="preserve">на передплату періодичних видань для закладів освіти </t>
  </si>
  <si>
    <t>на придбання холодильника для ФП у с.Дубовий Гай КУ "Центр ПМСД Овруцької райради"</t>
  </si>
  <si>
    <t>на проведення поточного ремонту приміщення ФП у с. Стугівщина КУ "Центр ПМСД Овруцької райради"</t>
  </si>
  <si>
    <t>на придбання та встановлення метопластикових вікон та дверей у ФП с. Оленичі КУ "Центр ПМСД Овруцької райради"</t>
  </si>
  <si>
    <t>на придбання та встановлення вікон та заміни дверей у ФП с. Лучанки КУ "Центр ПМСД Овруцької райради"</t>
  </si>
  <si>
    <t>на придбання та встановлення металопластикових вікон та дверей у ФП с. Листвин КУ "Центр ПМСД Овруцької райради"</t>
  </si>
  <si>
    <t>на придбання велосипедів для Великофоснянської сільської амбулаторії</t>
  </si>
  <si>
    <t>на придбання пральної машини для Великофоснянського ДНЗ</t>
  </si>
  <si>
    <t xml:space="preserve">на придбання бензопили для Великофоснянської ЗОШ І-ІІІ ст. </t>
  </si>
  <si>
    <t>на придбання матеріалів і обладнання для облаштування автобусної зупинки в с. Мала Фосня</t>
  </si>
  <si>
    <t>на придбання двох компютерів для шкільної бібліотеки опорного навчального закладу "Овруцька ЗОШ І-ІІІ ст. № 1"</t>
  </si>
  <si>
    <t>на придбання електрокардіографа, дверних блоків для амбулаторії ЗПСМ в с. Бігунь КУ "Центр ПМСД Овруцької райради"</t>
  </si>
  <si>
    <t xml:space="preserve">на придбання товарів та матеріалів, дверних та віконних блоків, тонометра, ваг для ФАП у с. Антоновичі </t>
  </si>
  <si>
    <t>на придбання телевізова для Покалівської ЗОШ І-ІІІ ст.</t>
  </si>
  <si>
    <t>на придбання медичного інструментарію та обладнання для районної поліклініки Овруцької ЦРЛ</t>
  </si>
  <si>
    <t>на придбання меблів для музею художньо обромленої соломки Овруцької Зразкової Малої академії народних мистецтв та ремесел</t>
  </si>
  <si>
    <t>на придбання краєзнавчо-туристичного обладнання для Овруцької ЗОШ І-ІІІ ст. №4</t>
  </si>
  <si>
    <t>на придбання ортопедичних матрасів для неврологічного відділення Овруцької ЦРЛ</t>
  </si>
  <si>
    <t>на придбання мікроскопа лабораторного бінокулярного для клінічної лабораторії діагностичного відділення Овруцької ЦРЛ</t>
  </si>
  <si>
    <t>на придбання м"якого інвентаря та меблів для дитячого відділення Овруцької ЦРЛ</t>
  </si>
  <si>
    <t>на проведення поточних ремонтів у структурних підрозділах та придбання господарських матеріалів і меблів для КУ "Центр ПМСД Овруцької районної ради"</t>
  </si>
  <si>
    <t>на проведення ремонтних робіт у клубах с.Заріччя та с.Острів Зарічанський Овруцької міської ради</t>
  </si>
  <si>
    <t>на придбання кольорового принтера для Овруцької центральної районної бібліотеки для дорослих ім. А.С. Малишка</t>
  </si>
  <si>
    <t>на придбання автозапчастин для Овруцької ЦРЛ</t>
  </si>
  <si>
    <t>на придбання морозильної камери для харчоблоку Овруцької ЦРЛ</t>
  </si>
  <si>
    <t>на придбання овочерізки для харчоблоку Овруцької ЦРЛ</t>
  </si>
  <si>
    <t>на придбання портативної бормашини для Овруцької ЦРЛ</t>
  </si>
  <si>
    <t>на придбання системи для прибирання Овруцької ЦРЛ</t>
  </si>
  <si>
    <t>на придбання виробів медичного призначення для відділень Овруцької ЦРЛ</t>
  </si>
  <si>
    <t>на придбання комп'ютерної техніки та меблів для відділу освіти та гуманітарних питань Курненської сільської ради</t>
  </si>
  <si>
    <t>на капітальний ремонт водопровідних мереж і споруд для с. Новини Курненської сільської ради</t>
  </si>
  <si>
    <t xml:space="preserve">на придбання енергозберігаючих вікон для Тетірської ЗОШ І-ІІІ ст. </t>
  </si>
  <si>
    <t xml:space="preserve">на придбання меблів для Тетірської ЗОШ І-ІІІ ст. </t>
  </si>
  <si>
    <t>на придбання та встановлення комплекта автономної системи освітлення фото електричних (сонячних) модулів для с. Ягодинка</t>
  </si>
  <si>
    <t>на придбання та встановлення  вікон, дверей та придбання театральних стільців для приміщення сільського клубу в с. Нарцизівка</t>
  </si>
  <si>
    <t>на придбання гардин для актової зали Староолександрівської ЗОШ І-ІІ ст.</t>
  </si>
  <si>
    <t>на придбання пральної машини для дошкільної групи Зеленополянського НВК "ЗОШ І-ІІ ст. - ДНЗ"</t>
  </si>
  <si>
    <t>на придбання ноутбуків та принтерів для відділу освіти Пулинської селищної ради</t>
  </si>
  <si>
    <t>на придбання матеріалів для пошиття дитячих костюмів для КПСМНЗ  "Пулинська школа мистецтв"</t>
  </si>
  <si>
    <t>на придбання світлового обладнання для сцени Пулинського Центру культури і дозвілля</t>
  </si>
  <si>
    <t>на закінчення робіт з розчистки пожежної водойми та благоустрою території навколо водойми  с. Зелена Поляна</t>
  </si>
  <si>
    <t>на придбання водопровідних труб по реалізації робочого проекту "Капітальний ремонт водопровідних мереж та споруд в с. Кошелівка Пулинського району Житомирської області"</t>
  </si>
  <si>
    <t xml:space="preserve">на придбання водяних радіаторів, дверей, експозиційних шаф для КЗ "Радомишльський народний краєзнавчий музей" </t>
  </si>
  <si>
    <t>на придбання стільців для методкабінету, швейних машинок для кабінету трудового навчання, ноутбуків та телевізора для ОЗНЗ "Радомишльська гімназія"</t>
  </si>
  <si>
    <t>на придбання телевізорів для кабінетів історії, зарубіжної літератури та основ здоров'я Радомишльської ЗОШ І-ІІІ ст. № 3</t>
  </si>
  <si>
    <t>на придбання проектора, багатофункціонального пристрою, ноутбука, набору стендів для кабінету географії  Великорацької ЗОШ І-ІІІ ст.</t>
  </si>
  <si>
    <t xml:space="preserve">на придбання спортивних засобів та інвентаря для Осичківської ЗОШ І-ІІІ ст. </t>
  </si>
  <si>
    <t>на придбання телевізорів, кронштейнів, системних блоків,моніторів, мишок,клавіатур і кабелів для Радомишльського ліцею № 1 ім.Т.Г.Шевченка</t>
  </si>
  <si>
    <t>на придбання дитячого майданчика для Студеницького ЗДО "Сонечко"</t>
  </si>
  <si>
    <t>на придбання ноутбука, синтезатора, іграшок та спортивного інвентаря для Глибочицького ДНЗ "Веселка"</t>
  </si>
  <si>
    <t>на придбання штучного покриття для дитячого ігрового майданчика Березинського ДНЗ "Малятко"</t>
  </si>
  <si>
    <t xml:space="preserve">на придбання футбольної форми для команди "Енергія" с. Гадзинка </t>
  </si>
  <si>
    <t>на придбання інтерактивної дошки для Пісківської ЗОШ І-ІІІ ст.</t>
  </si>
  <si>
    <t xml:space="preserve">на співфінансування придбання шкільного автобуса для перевезення дітей Соколівської ЗОШ І-ІІІ ст. </t>
  </si>
  <si>
    <t>Інші субвенції з місцевого бюджету, всього</t>
  </si>
  <si>
    <t>Програма матеріально-технічного забезпечення підшефних військових частин Збройних Сил України, Національної гвардії України, закріплених Житомирською облдержадміністрацією, на 2018-2020 роки</t>
  </si>
  <si>
    <t>Програма забезпечення виконання Житомирською обласною державною адміністрацією повноважень, делегованих обласною радою на 2017-2020 роки, рішення обласної ради від 22.12.2016 № 423</t>
  </si>
  <si>
    <t>Обласна комплексна Програма забезпечення пожежної та техногенної безпеки, захисту населення і територій Житомирської області від надзвичайних ситуацій на 2016-2020 роки, рішення обласної ради від 24.12.2015 № 25</t>
  </si>
  <si>
    <t xml:space="preserve">Комплексна програма забезпечення охорони прав і свобод людини, протидії злочинності, підтримання публічної безпеки і порядку у Житомирській області на 2016-2020 роки, рішення обласної ради від 21.07.2016 № 285 </t>
  </si>
  <si>
    <t>Програма сприяння та публічності розвитку казначейського обслуговування області на 2016-2018 роки, "Доступне казначейство", рішення обласної ради від 22.12.2016 № 421</t>
  </si>
  <si>
    <t>Обласна програма розвитку футболу на 2018-2020 роки</t>
  </si>
  <si>
    <t xml:space="preserve">Реконструкція приміщень Житомирської дитячої-юнацької спортивної школи з боротьби Житомирської обласної ради за адресою: м.Житомир, вул. Київська,106 </t>
  </si>
  <si>
    <t>Технічне переоснащення харчоблоку Житомирської обласної школи вищої спортивної майстерності за адресою: Житомирський район, с.Березина, вул.Лісова, 4</t>
  </si>
  <si>
    <t>Капітальний ремонт вуличного освітлення с. Буряки Бердичівського району Житомирської області</t>
  </si>
  <si>
    <t>На виготовлення проектно-кошторисної документації на реконструкцію обласної дитячої лікарні</t>
  </si>
  <si>
    <t>Капітальний ремонт районного будинку культури за адресою: Житомирська область, місто Малин, вул. Грушевського, 16</t>
  </si>
  <si>
    <t>Реконструкція мереж водопостачання м. Малина Житомирської області</t>
  </si>
  <si>
    <t>Реконструкція загальноосвітньої школи І-ІІІ ступенів с.Словечне, Овруцького району, Житомирської області</t>
  </si>
  <si>
    <t xml:space="preserve">Капітальний ремонт фасадів і даху з утепленням Радомишльської гімназії в м. Радомишль по вулиці Петрівській, 32 Житомирської області </t>
  </si>
  <si>
    <t>Реконструкція Червоненської загальноосвітньої школи І-ІІІ ст. із застосуванням енергозберігаючих технологій</t>
  </si>
  <si>
    <t>Реконструкція приміщень котельні з переплануванням під приміщення місцевої пожежної охорони (МПО) по вул. Миру 35-Г,Д  (Леніна, 35-г) в с. Бондарівка Коростенського району Житомирської області</t>
  </si>
  <si>
    <t>Виконання інвестиційних проектів в рамках реалізації заходів, спрямованих на розвиток системи охорони здоров'я у сільській місцевості</t>
  </si>
  <si>
    <t>Поліпшення технічного стану та благоустрій водойм на території Ботанічного саду Житомирського національного агроекологічного університету. Реконструкція</t>
  </si>
  <si>
    <t>Будівництво напірного колектора господарсько-побутової каналізації м.Андрушівка</t>
  </si>
  <si>
    <t>Реконструкція та технічне переобладнання очисних споруд каналізації у смт           Ємільчине</t>
  </si>
  <si>
    <t>Реконструкція каналізаційного колектора в м.Олевськ</t>
  </si>
  <si>
    <t>Технічне переоснащення із заміною аварійних решіток на решітки тонкого очищення стічних вод на  КНС №1 в м.Коростень</t>
  </si>
  <si>
    <t>Реконструкція очисних споруд господарсько-побутової каналізації у смт Довбиш Житомирської області</t>
  </si>
  <si>
    <t>Реконструкція каналізаційного колектора по вул. 1 Травня в смт Ємільчине Житомирської області - КНС по вул. 1 Травня, 12</t>
  </si>
  <si>
    <t>Будівництво очисних споруд каналізації в м. Андрушівка</t>
  </si>
  <si>
    <t>Будівництво очисних споруд каналізації в м. Андрушівка (пусконалагоджувальні  роботи 1-го етапу)</t>
  </si>
  <si>
    <t>Технічне переоснащення із заміною аварійного обладнання КНС № 3 по вул. І. Франка та заміна частини напірного колектора по вул. Клубна в м. Андрушівка</t>
  </si>
  <si>
    <t>Реконструкція та технічне переобладнання очисних споруд господарсько-побутових стічних вод у м. Овруч</t>
  </si>
  <si>
    <t>Реконструкція та технічне переобладнання очисних споруд господарсько-побутових стічних вод у м.Овруч (пусконалагоджувальні роботи)</t>
  </si>
  <si>
    <t>Реконструкція очисних споруд каналізації КП «Черняхів-Добробут» по вул. Індустріальній в смт Черняхів Житомирської області</t>
  </si>
  <si>
    <t>Реконструкція очисних споруд каналізації КП «Черняхів-Добробут» по вул. Індустріальній в смт Черняхів Житомирської області (пусконалагоджувальні  роботи)</t>
  </si>
  <si>
    <t>Реконструкція (ефективна термосанація) Червоненського ДНЗ "Калинка" по вул. Терещенка, 3а, смт. Червоне, Андрушівського району, Житомирської області</t>
  </si>
  <si>
    <t>Технічне переоснащення із заміною аварійного обладнання КНС у м.Малині Житомирської області</t>
  </si>
  <si>
    <t xml:space="preserve">Виготовлення проектно-кошторисної документації для проведення реставраційно-ремонтних робіт будівлі КП "Житомирський академічний український музично-драматичний театр ім.І.А.Кочерги" </t>
  </si>
  <si>
    <t>Перелік місцевих (регіональних) програм, які фінансуватимуться                                                                                                                                                                                                                         за рахунок коштів обласного бюджету у 2018 році</t>
  </si>
  <si>
    <t>Програма матеріально-технічного забезпечення, підвищення спроможності та поліпшення умов несення служби особовим складом Житомирського прикордонного загону та Управління служби безпеки України у Житомирській області на 2017-2020 роки, рішення обласної ради від 06.04.2017 № 557</t>
  </si>
  <si>
    <t>контроль</t>
  </si>
  <si>
    <t>на фінансову підтримку КП "Футбольний клуб "Полісся" Житомирської міської ради</t>
  </si>
  <si>
    <t xml:space="preserve">Субвенції з державного бюджету місцевим бюджетам </t>
  </si>
  <si>
    <t xml:space="preserve">Дотації  з державного бюджету місцевим бюджетам </t>
  </si>
  <si>
    <t xml:space="preserve">Будівництво інших об"єктів соціальної та виробничої інфраструктури комунальної власності </t>
  </si>
  <si>
    <t>Додаток 5.2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</si>
  <si>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</si>
  <si>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Технічне переоснащення котельні Житомирського обласного військомату по вул. С. Параджанова, 4 в м. Житомирі</t>
  </si>
  <si>
    <t>Субвенції з місцевих бюджетів іншим місцевим бюджетам</t>
  </si>
  <si>
    <t>Назва програми / призначення субвенції</t>
  </si>
  <si>
    <t>№ з/п</t>
  </si>
  <si>
    <t xml:space="preserve">на придбання автомобільних шин  для пожежного автомобіля 12 ДПРЧ м. Овруч Овруцького районного відділу УДСНС України в Житомирській області </t>
  </si>
  <si>
    <t>на придбання запасних частин для автотранспорту для 20 ДПРЧ м. Коростишів Коростишівського районного сектору УДСНС України у Житомирській області</t>
  </si>
  <si>
    <t>на облаштування спортивного залу для 16 ДПРЧ м.Радомишль Радомишльського районного сектору УДСНС України в Житомирській області</t>
  </si>
  <si>
    <t>на придбання пожежної мотопомпи, акумуляторів для радіостанцій, та двох групових ліхтарів для 17 ДПРЧ м.Олевськ Олевського районного сектору УДСНС України у Житомирській області</t>
  </si>
  <si>
    <t>на встановлення пластикових вікон  для Любарського районного військового комісаріату</t>
  </si>
  <si>
    <t>на придбання бойового одягу  для 30 ДПРП смт Чоповичі УДСНС України у Житомирській області</t>
  </si>
  <si>
    <t>на придбання оргтехніки для УПСЗН Лугинської РДА</t>
  </si>
  <si>
    <t>2.</t>
  </si>
  <si>
    <t>1.</t>
  </si>
  <si>
    <t xml:space="preserve">на придбання захисних костюмів для пожежних-рятувальників для 25-тої ДПРЧ смт Попільня УДСНС України в Житомирській області </t>
  </si>
  <si>
    <t>Програма забезпечення депутатської діяльності, проведення конкурсів та нагород обласної ради на 2018 рік</t>
  </si>
  <si>
    <t xml:space="preserve"> , , </t>
  </si>
  <si>
    <t>4.</t>
  </si>
  <si>
    <t>3.</t>
  </si>
  <si>
    <t>Комплексна програма забезпечення охорони прав і свобод людини, протидії злочинності, підтримання публічної безпеки і порядку у Житомирській області на 2016-2020 роки</t>
  </si>
  <si>
    <t>Обласна комплексна Програма забезпечення пожежної та техногенної безпеки, захисту населення і територій Житомирської області від надзвичайних ситуацій на 2016-2020 роки</t>
  </si>
  <si>
    <t>Програма забезпечення виконання Житомирською обласною державною адміністрацією повноважень, делегованих обласною радою на 2017-2020 роки</t>
  </si>
  <si>
    <t>Програма матеріально-технічного забезпечення, підвищення спроможності та поліпшення умов несення служби особовим складом Житомирського прикордонного загону та Управління служби безпеки України у Житомирській області на 2017-2020 роки</t>
  </si>
  <si>
    <t>на придбання бензину  для УСБУ</t>
  </si>
  <si>
    <t>7.</t>
  </si>
  <si>
    <t>8.</t>
  </si>
  <si>
    <t>Програма сприяння та публічності розвитку казначейського обслуговування області на 2016-2018 роки, "Доступне казначейство"</t>
  </si>
  <si>
    <t>Програма економічного і соціального розвитку Житомирської області на 2018 рік</t>
  </si>
  <si>
    <t>на ремонт спортивного залу Житомирського національного агроекологічного університету</t>
  </si>
  <si>
    <t>на придбання принтера (8000) та  офісних меблів (7000) для відділу освіти Любарської РДА</t>
  </si>
  <si>
    <t xml:space="preserve">на придбання комп"ютерної та оргтехніки, кондиціонерів  </t>
  </si>
  <si>
    <t xml:space="preserve">на експлуатаційні витрати </t>
  </si>
  <si>
    <t>на придбання спортивного інвентарю  для управління патрульної поліції в Житомирській області</t>
  </si>
  <si>
    <t>на придбання підйомника для технічного обслуговування автомобілів для управління патрульної поліції в Житомирській області</t>
  </si>
  <si>
    <t>на придбання технічних засобів для облаштування автомобіля ситуаційного центру Головного управління національної поліції в Житомирський області</t>
  </si>
  <si>
    <t>на придбання автомобіля  для УСБУ</t>
  </si>
  <si>
    <t>Субвенції з обласного бюджету державному бюджету на виконання програм соціально-економічного розвитку регіонів на 2018 рік</t>
  </si>
  <si>
    <t>на придбання туристичного обладнання (палатки, тенти), спортивних луків та арбалетів для Малинського міського краєзнавчого музею</t>
  </si>
  <si>
    <t>на співфінансування 10% проекту "Реконструкція приміщень котельні з переплануванням під приміщення місцевої пожежної охорони (МПО) по вул.Леніна, 35-Г в с.Бондарівка Коростенського району Житомирської області"</t>
  </si>
  <si>
    <t>Реконструкція частини приміщення з облаштуванням внутрішніх туалетів у Кам"янобрідській ЗОШ І-ІІІ ст. смт Кам"яний Брід</t>
  </si>
  <si>
    <t>на придбання оргтехніки для Чорноволоцького ДНЗ "Колосок"</t>
  </si>
  <si>
    <t>на придбання матеріалів для облаштування вікон для Красногірського сільського клубу</t>
  </si>
  <si>
    <t>Програма матеріально-технічного забезпечення підшефних військових частин Збройних Сил України, Національної гвардії України, закріплених Житомирською облдержадміністрацією, на 2018-2020 роки, рішення обласної ради від 21.12.2017 № 875</t>
  </si>
  <si>
    <t>на придбання жалюзі, ламп освітлення, столів та стільців для лабораторії та конференцзали  Житомирського національного агроекологічного університету</t>
  </si>
  <si>
    <t>для закупівлі обладнання на облаштування екологічної лабораторії Житомирського державного технологічного університету</t>
  </si>
  <si>
    <t>на придбання комп"ютерної техніки для ГУДКСУ у Житомирській області</t>
  </si>
  <si>
    <t>Програми і централізовані заходи профілактики ВІЛ-інфекції/СНІДу</t>
  </si>
  <si>
    <t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бюджету, всього</t>
  </si>
  <si>
    <t>на виготовлення органами ведення Державного реєстру виборців списків виборців та іменних запрошень для підготовки і проведення перших виборів депутатів  сільських, селищних, міських рад об"єднаних територіальних громад та відповідних сільських, селищних, міських голів</t>
  </si>
  <si>
    <t>в тому числі :</t>
  </si>
  <si>
    <t>Програма забезпечення депутатської діяльності, проведення конкурсів та нагород обласної ради на 2018 рік, рішення обласної ради від 21.12.2017 № 871</t>
  </si>
  <si>
    <t>Програма матеріально-технічного забезпечення четвертого батальйону територіальної оборони Житомирської області та Житомирського обласного військового комісаріату  на 2018-2020 роки, рішення обласної ради від 21.12.2017 № 876</t>
  </si>
  <si>
    <t>на співфінансування 30% проекту  "Капітальний ремонт вуличного освітлення  в населених пунктах: с.Ушомир, с.Березневе, с.Заріччя, с.Ковбащина, с.Пугачівка, с.Рудня-Ушомирська, с.Садибне, с.Сантарка, с.Струмок, с.Гулянка, с.Іванопіль, с.Охотівка, с.Першотравневе, с.Ушиця, селище Броди, селище Нова Ушиця, с.Калинівка, с.Вишневе, с.Красногірка, с.Купище, с.Жабче, с.Ришавка Ушомирської сільської ради Коростенського району Житомирської області "</t>
  </si>
  <si>
    <t>Придбання обладнання для амбулаторії загальної практики - сімейної медицини</t>
  </si>
  <si>
    <t>на придбання спеціального шкільного автобуса, пристосованого для перевезення дітей з обмеженими фізичними можливостями, на засадах співфінансування</t>
  </si>
  <si>
    <t>на співфінансування придбання шкільного автобуса за програмою "Шкільний автобус" для Коростишівської гуманітарній гімназії № 5</t>
  </si>
  <si>
    <t>на капітальний ремонт автомобіля швидкої допомоги (УАЗ 3962, державний номер АМ 56-13 АР) для пункту постійного базування м.Олевськ Коростенської підстанції Житомирського центру екстреної медичної допомоги та медицини катастроф Житомирської обласної ради</t>
  </si>
  <si>
    <t>співфінансування на придбання персонального комп"ютера/ноутбука та техніки для друкування, копіювання, сканування та ламінування з витратними матеріалами для початкової школи</t>
  </si>
  <si>
    <t>Додаток 1.2</t>
  </si>
  <si>
    <t xml:space="preserve">                 Субвенції з місцевих бюджетів до обласного бюджету на співфінансування інвестиційних проектів на 2018 рік</t>
  </si>
  <si>
    <t>співфінансування для проведення капітального ремонту фасадів і даху з утепленням Радомишльської гімназії</t>
  </si>
  <si>
    <t>співфінансування для проведення реконструкції спорткомплексу "Динамо" за рахунок розбудови за адресою пров.Шкільний,8 м.Радомишль</t>
  </si>
  <si>
    <t>Радомишльський районний  бюджет</t>
  </si>
  <si>
    <t>Субвенція з місцевого бюджету на співфінансування інвестиційних проектів (на створення регіонального центру надання адміністративних послуг у м.Житомирі, підтримка його функціонування та облаштування)</t>
  </si>
  <si>
    <t>Субвенція з місцевого бюджету за рахунок залишку коштів медичної субвенції, що утворився на початок бюджетного періоду (цільові видатки на  лікування хворих на цукровий та нецукровий діабет)</t>
  </si>
  <si>
    <t xml:space="preserve">Тетерівський сільський бюджет </t>
  </si>
  <si>
    <t xml:space="preserve">Вишевицький сільський бюджет </t>
  </si>
  <si>
    <t>Хорошівський селищний бюджет</t>
  </si>
  <si>
    <t>на централізовану закупівлю шкільного автобуса (на засадах співфінансування 30% - за рахунок коштів сільського бюджету)</t>
  </si>
  <si>
    <t xml:space="preserve">Іршанський селищний бюджет </t>
  </si>
  <si>
    <t>Андрушівський міський бюджет Андрушівського району</t>
  </si>
  <si>
    <t>на придбання спецодягу та для проведення поточних ремонтів спеціалізованих автомобілів "Швидка допомога" пункту постійного базування бригад екстреної медичної допомоги та медицини катастроф Андрушівського району</t>
  </si>
  <si>
    <t xml:space="preserve">центру екстреної медичної допомоги та медицини катастроф на утримання пункту тимчасового базування бригад в смт Іванопіль </t>
  </si>
  <si>
    <t>на придбання шкільного автобуса</t>
  </si>
  <si>
    <t xml:space="preserve">                 Субвенції з місцевих бюджетів до обласного бюджету за рахунок залишку коштів освітньої субвенції, що утворився на початок бюджетного періоду, на 2018 рік</t>
  </si>
  <si>
    <t xml:space="preserve">                 Субвенції з місцевих бюджетів до обласного бюджету на здійснення природоохоронних заходів на 2018 рік</t>
  </si>
  <si>
    <t>Барашівський селищний бюджет</t>
  </si>
  <si>
    <t>Мають дати 6100</t>
  </si>
  <si>
    <t>Мають дати 5100</t>
  </si>
  <si>
    <t>співфінансування будівництва амбулаторії с.Н.Вороб"ї</t>
  </si>
  <si>
    <t>співфінансування проекту "Реконструкція частини будівлі ЗОШ № 13 під туалет з надбудовою 2 поверху по вул. Селезньова, 101 в м.Коростені (коригування кошторису)"</t>
  </si>
  <si>
    <t>на співфінансування інвестиційних проектів - реконструкція Новоборівської ЗНЗ І-ІІІ ступенів - ліцею</t>
  </si>
  <si>
    <t>на закупівлю фабрики друку (ноутбук, багатофункціональний пристрій, ламінатор) для початкової школи (співфінансування по проекту "Нова українська школа")</t>
  </si>
  <si>
    <t>Субвенція з місцевого бюджету на здійснення природоохоронних заходів</t>
  </si>
  <si>
    <t>реконструкція (термомодернізація) Барашівської ЗОШ І-ІІІ ступенів</t>
  </si>
  <si>
    <t>Департамент регіонального розвитку Житомирської обласної державної адміністрації</t>
  </si>
  <si>
    <t>Департамент агропромислового розвитку та економічної політики Житомирської обласної державної адміністрації</t>
  </si>
  <si>
    <t>Субвенція з державного бюджету місцевим бюджетам на забезпечення якісної, сучасної, та доступної загальної середньої освіти "Нова українська школа"</t>
  </si>
  <si>
    <t>0619350</t>
  </si>
  <si>
    <t>Субвенція з державного бюджету місцевим бюджетам на модернізацію та оновлення матеріально-технічної бази професійно-технічних навчальних закладів</t>
  </si>
  <si>
    <t>Реконструкція Новоборівського загальноосвітнього навчального закладу І-ІІІ ступенів-ліцею по вул. Освіти, 7 в смт. Нова Борова, Хорошівського району, Житомирської області</t>
  </si>
  <si>
    <t>Додаток 1.3</t>
  </si>
  <si>
    <t>Додаток 1.4</t>
  </si>
  <si>
    <t>2717110</t>
  </si>
  <si>
    <t>2717120</t>
  </si>
  <si>
    <t>2718830</t>
  </si>
  <si>
    <t>2718831</t>
  </si>
  <si>
    <t>Субвенція з місцевого бюджету на забезпечення якісної, сучасної, та доступної загальної середньої освіти "Нова українська школа" за рахунок відповідної субвенції з державного бюджету</t>
  </si>
  <si>
    <t>Будівництво полігону для збирання та зберігання відходів підприємств каменеобробної галузі та розміщення виробництва для одержання сировини та готової продукції з відходів виробництва в с.Стрижівка, Коростишівського району</t>
  </si>
  <si>
    <t>співфінансування на реконструкцію загальноосвітньої школи І-ІІІ ст. у с.Словечне Овруцького району Житомирської області</t>
  </si>
  <si>
    <t>співфінансування на утримання пункту тимчасового базування бригад екстренної медичної допомоги смт Іванопіль Чуднівського району</t>
  </si>
  <si>
    <t xml:space="preserve">на співфінансування об"єкту "Капітальний ремонт будівлі  (термомодернізація) Гришковецької гімназії смт Гришківці Бердичівського району Житомирської області за адресою: Житомирська область, Бердичівський район, смт Гришківці, вул Червоний промінь, 3 </t>
  </si>
  <si>
    <t>на співфінансування об"єкту "Капітальний ремонт будівлі  (термомодернізація) Гришковецької гімназії смт Гришківці Бердичівського району Житомирської області за адресою: Житомирська область, Бердичівський район, смт Гришківці, вул Червоний промінь, 3 "</t>
  </si>
  <si>
    <t>на співфінансування об"єкту "Капітальний ремонт будівлі  (термомодернізація) Гришковецької гімназії смтГришківці Бердичівського району Житомирської області за адресою: Житомирська область, Бердичівський район, смт Гришківці, вул Червоний промінь, 3 "</t>
  </si>
  <si>
    <t xml:space="preserve">для потреб терапевтичного відділення КУ "Обласна клінічна лікарня ім.Гербачевського" Житомирської обласної ради </t>
  </si>
  <si>
    <t>Ставищенський сільський бюджет  Брусилівського району</t>
  </si>
  <si>
    <t>на придбання електрокардіографа для ВППБ БЕМД Брусилівського району КУ "ЦЕМД та МК" Житомирської обласної ради</t>
  </si>
  <si>
    <t>на проект "Капітальний ремонт будівлі (термомодернізація) Хажинської загальноосвітньої школи І-ІІІ ступенів Семенівської сільської ради Житомирської області за адресою: Житомирська область, Бердичівський район, с.Хажин, вул. Двірська, 42"</t>
  </si>
  <si>
    <t>співфінансування робіт по об"єкту "Реконструкція головного корпусу Олевської гімназії з термосанацією по вул. Інтенаціональна, 34 в м.Олевськ Житомирської області"</t>
  </si>
  <si>
    <t xml:space="preserve">Новоборівський селищний бюджет </t>
  </si>
  <si>
    <t>співфінансування на реконструкцію та технічне переобладнання очисних споруд господарсько-побутових стоків стічних вод у м.Овруч</t>
  </si>
  <si>
    <t>будівництво очисних споруд каналізації в м.Андрушівка</t>
  </si>
  <si>
    <t xml:space="preserve">на співфінансування придбання шкільного автобуса </t>
  </si>
  <si>
    <t>мінус</t>
  </si>
  <si>
    <t>додаток 1</t>
  </si>
  <si>
    <t>0813110</t>
  </si>
  <si>
    <t>0813111</t>
  </si>
  <si>
    <t>0813120</t>
  </si>
  <si>
    <t>0813121</t>
  </si>
  <si>
    <t>0813122</t>
  </si>
  <si>
    <t>0813123</t>
  </si>
  <si>
    <t>0819241</t>
  </si>
  <si>
    <t>Субвенція з місцевого бюджету на забезпечення якісної, сучасної, та доступної загальної середньої освіти "Нова українська школа" за рахунок відповідної субвенції з державного бюджету (видатки розвитку)</t>
  </si>
  <si>
    <t>закупівлю комп"ютерного обладнання, відповідного мультимедійного контенту для початкових класів  (видатки розвитку)</t>
  </si>
  <si>
    <t>закупівлю сучасних меблів для початкових класів  (видатки розвитку)</t>
  </si>
  <si>
    <t>закупівлю дидактичних матеріалів для початкових класів  (видатки розвитку)</t>
  </si>
  <si>
    <t>підготовку та підвищення кваліфікації педпрацівників (видатки споживання)</t>
  </si>
  <si>
    <t>Департамент праці, соціальної та сімейної політики Житомирської обласної державної адміністрації</t>
  </si>
  <si>
    <t>Програма матеріально-технічного забезпечення 4-го батальйону територіальної громади Житомирської області та Житомирського обласного військового комісаріату на 2018-2020роки, рішення обласної ради від 21.11.2017 № 876</t>
  </si>
  <si>
    <t>Реконструкція футбольного поля та благоустрій території центрального стадіону по вул. Фещенка-Чопівського,18 в м.Житомирі (ІІІ черга)</t>
  </si>
  <si>
    <t>Реконструкція головного корпусу Олевської гімназії з термосанацією по вул. Інтернаціональна ,34 в м.Олевськ Житомирської області</t>
  </si>
  <si>
    <t>Капітальний ремонт будівлі (термомодернізація) Хажинської загальноосвітньої школи І-ІІІ ступенів Семенівської сільської ради Житомирської області за адресою:Житомирська область,Бердичівський район,с.Хажин, вул.Двірська,42</t>
  </si>
  <si>
    <t>Придбання будівельних матеріалів для поточного ремонту кабінету фізики Станишівської ЗОШ І-ІІІ ст.</t>
  </si>
  <si>
    <t>Капітальний ремонт приміщення для організації багатофункціонального центру реабілітації за адресою: вул.Зв"ягельська, 66,  м.Баранівка Житомирської області (перша черга)</t>
  </si>
  <si>
    <t>на придбання навчальної та художньої літератури, комп"ютерної техніки та мультимедійного обладнання для ЗОШ І-ІІІ ст. №10 м. Житомира</t>
  </si>
  <si>
    <t>на придбання ноутбука та проектора для групи "Калинка" ДНЗ №52</t>
  </si>
  <si>
    <t>на поточний ремонт санвузла для осіб з обмеженими фізичними можливостями дитячої поліклініки Богунського району КУ "Центральна дитяча міська лікарня" по проспекту Миру, 11</t>
  </si>
  <si>
    <t>на придбання меблів для ЗОШ І-ІІІ ст.№6 ім. В.Г. Короленка м. Житомир</t>
  </si>
  <si>
    <t>на придбання матеріалів та на проведення поточного ремонту для шкірно-венерологічного відділення поліклініки №1 КУ Центральна міська лікарня №1 м. Житомира</t>
  </si>
  <si>
    <t>на придбання реабілітаційного обладнання (стіл масажний трьохсекційний та стіл світловий) для Бердичівського Центру соціальної реабілітації дітей-інвалідів</t>
  </si>
  <si>
    <t>на придбання м"якого інвентарю для акушерського відділення Бердичівської ЦМЛ</t>
  </si>
  <si>
    <t xml:space="preserve">на придбання водонагрівача та комплектуючих для його встановлення в середню "Б" групу "Зірочка" для ЗДО №4 "Берегиня" </t>
  </si>
  <si>
    <t>на капітальний ремонт вул. Інтернаціоналістів у м. Бердичеві</t>
  </si>
  <si>
    <t>на придбання альтанки для встановлення по вулиці Горького 96 м. Коростень</t>
  </si>
  <si>
    <t>на придбання ліхтарів вуличного освітлення для встановлення в м. Коростень</t>
  </si>
  <si>
    <t>на придбання кухонного обладнання для Коростенської центральної міської лікарні</t>
  </si>
  <si>
    <t>на придбання баскетбольної спортивної форми, ігрових костюмів, спортивного інвентаря та обладнання для спортсменів Коростенської ДЮСШ</t>
  </si>
  <si>
    <t>на продовження робіт по об"єкту "Будівництво хірургічного корпусу Новоград- Волинського міськрайонного територіального медичного об"єднання на вул. Медведєва, 13 в м. Новограді-Волинському Житомирської області"</t>
  </si>
  <si>
    <t>на поточний ремонт кабінетів поліклініки (денний стаціонар) ЦРЛ Бердичівського району</t>
  </si>
  <si>
    <t>на поточний ремонт кабінету фізіотерапевтичного відділення в приміщенні лікувального корпусу ЦРЛ Бердичівського району</t>
  </si>
  <si>
    <t>на придбання інтерактивного комплексу для Ємільчинської гімназії</t>
  </si>
  <si>
    <t>на придбання класних меблів, класних дошок, люмінесцентних ламп, металопластикових вікон для Пряжівської ЗОШ І-ІІ ст.</t>
  </si>
  <si>
    <t>на придбання сценічних костюмів для учасників художньої самодіяльності Веселівського будинку культури</t>
  </si>
  <si>
    <t>на придбання інформаційних стендів для оформлення шкільного коридору для Васьковицької середньої ЗОШ І-ІІІ ст.</t>
  </si>
  <si>
    <t>на придбання проектора з кріпленням та USB - шнуром та жалюзі для вікон для Васьковицької середньої ЗОШ І-ІІІ ст.</t>
  </si>
  <si>
    <t>на придбання ноутбука та мультимедійного проектора для кабінетів початкових класів  Васьковицької середньої ЗОШ І-ІІІ ст.</t>
  </si>
  <si>
    <t>на придбання матеріалів для  поточного ремонту приміщень лікарні для КЗ "Коростенська ЦРЛ Коростенської районної ради"</t>
  </si>
  <si>
    <t>на придбання та заміну пластикових вікон для Меленівського НВК "середня ЗОШ І-ІІІ ст.-ДНЗ"</t>
  </si>
  <si>
    <t>на виготовлення технічної документації на адміністративне приміщення сільської ради для Холосненської сільської ради</t>
  </si>
  <si>
    <t>на придбання вікон в будинок культури с. Новаки для Новаківської сільської ради</t>
  </si>
  <si>
    <t>для проведення поточного ремонту комунальних доріг Новаківської сільської ради протяжністю 12,5 км.</t>
  </si>
  <si>
    <t>для проведення поточного ремонту в приміщенні фельдшерського пункту с. Новаки Новаківської сільської ради</t>
  </si>
  <si>
    <t>на придбання паливно-мастильних матеріалів та запасних частин для ремонту автомобіля для Коростишівської районної ради</t>
  </si>
  <si>
    <t>на придбання плазмового телевізора для Старосілецької гімназії Минійківського НВК</t>
  </si>
  <si>
    <t>на придбання ноутбуків для Університету третього віку - факультету інформаційних технологій територіального центру соціального обслуговування (надання соціальних послуг) Коростишівського району</t>
  </si>
  <si>
    <t>на придбання меблів та будівельних матеріалів для ремонту приміщення ДНЗ №6 "Малятко" Радомишльського району Житомирської області</t>
  </si>
  <si>
    <t>на придбання копіювальної техніки (принтер, сканер, ксерокс) для Першотравенської амбулаторій загальної практики сімейної медицини</t>
  </si>
  <si>
    <t xml:space="preserve">на придбання годинників та спортобладнання для проведення навчально-тренувальних занять з шашок та змагань для Коростишівського дитячо-юнацького клубу фізичної підготовки </t>
  </si>
  <si>
    <t>на придбання 3-х виробничих столів з полицею і 2-х виробничих столів без полиць для Коростишівського ДНЗ ясла-садок №13 "Ялинка"</t>
  </si>
  <si>
    <t>на оплату за проект "Капітальний ремонт зовнішнього освітлення вулиць в с.Копище, Олевського району Житомирської області" для с. Копище</t>
  </si>
  <si>
    <t>Закупівля матеріалів та проведення ремонтних робіт в примішенні клініко-діагностичної лабораторії КУ "Олевська ЦЛ"</t>
  </si>
  <si>
    <t>Придбання та встановлення металопластикових вікон та дверей в приміщенні Брусилівської дитячої музичної школи</t>
  </si>
  <si>
    <t>Придбання та встановлення металопластикових вікон та дверей в приміщенні клініко-діагностичної лабораторії КУ "Брусилівська центральна районна лікарня"</t>
  </si>
  <si>
    <t>Придбання шкільного інвентарю (випалювачі для майстерні, стільці для методкабінету, навчальне обладнання для першокласників) для Зубринської ЗОШ І-ІІІ ст.</t>
  </si>
  <si>
    <t>Придбання іграшок для Зубринського ДНЗ</t>
  </si>
  <si>
    <t>Придбання акустичної системи для Рижанської гімназії</t>
  </si>
  <si>
    <t>на придбання килимового покриття та ігрових куточків для Шоломківського ЗДО Овруцької міської ради</t>
  </si>
  <si>
    <t>на придбання дитячих куточків для Шоломківського ЗДО Овруцької міської ради</t>
  </si>
  <si>
    <t>на придбання інвентаря для навчальної майстерні для Кошарищенської ЗОШ І-ІІ ст.</t>
  </si>
  <si>
    <t>на проведення ремонтних робіт автомобіля для 8 Державної пожежно-рятувальної частини м. Коростень Управління ДСНС України в Житомирській області</t>
  </si>
  <si>
    <t>на придбання  та встановлення металопластикових вікон для ремонту приміщення викладацької кафедри суспільних наук Житомирського національного агроекологічного університету</t>
  </si>
  <si>
    <t>на придбання  меблів для аудиторії 601 навчального корпусу №4 кафедри правознавства  Житомирського національного агроекологічного університету</t>
  </si>
  <si>
    <t>на придбання паливно - мастильних матеріалів, пожежно-технічного та інженерного обладнання, деталей для пожежних автомобілів та їх ремонту, форменого та бойового одягу, комп"ютерної техніки для потреб 20-ї державної пожежно -рятувальної частини  (м. Коростишів) Коростишівського районного сектору Управління ДСНС України у Житомирській області</t>
  </si>
  <si>
    <t>на придбання спортивно-ігрового комплексу  по вулиці Шевченка</t>
  </si>
  <si>
    <t>на придбання спортивно-ігрового комплексу  по вулиці Шевченка в районі стадіону</t>
  </si>
  <si>
    <t>на придбання ліхтаря та комплекту обладнання для вуличного освітлення по вул. Героїв Чорнобиля,3 ОСББ "Дружній дім"</t>
  </si>
  <si>
    <t>на придбання ліхтаря та комплекту обладнання для вуличного освітлення по вул. Грушевського,25 ОСББ "Коростень-Центральне"</t>
  </si>
  <si>
    <t>на придбання  електричної сковороди та холодильника для Іршанського НВК "Гімназія- ДНЗ"</t>
  </si>
  <si>
    <t>на придбання комп"ютерного обладнання для ОЗНЗ "Радомишльська гімназія"</t>
  </si>
  <si>
    <t>на придбання матеріалів  та на проведення поточного ремонту покрівлі житлового будинку ОСББ "Княже-131" за адресою: м. Житомир, вул. Князів Острозьких, 131</t>
  </si>
  <si>
    <t>на придбання мультимедійних проекторів (2шт.) та мультимедійних екранів (2 шт.) для Глибочицької ЗОШ І-ІІІ ст.</t>
  </si>
  <si>
    <t xml:space="preserve">на придбання вхідних дверей в житловий будинок по вул.Вінницькій, 15 м. Бердичеві (ПП "Житлоремекс-2") </t>
  </si>
  <si>
    <t>2819740</t>
  </si>
  <si>
    <t>9740</t>
  </si>
  <si>
    <t>Управління національно-патріотичного виховання, молоді та спорту Житомирської обласної державної адміністрації</t>
  </si>
  <si>
    <t xml:space="preserve">на співфінансування придбання ангіографічного комплексу для КУ "Обласна клінічна лікарня ім.О.Ф.Гербачевського" Житомирської обласної ради </t>
  </si>
  <si>
    <t>Здійснення заходів в рамках проведення експерименту з розвитку автомобільних доріг загального користування, ділянок вулиць і доріг міст та інших населених пунктів, що суміщаються з автомобільними дорогами загального користування, в усіх областях та м. Києві, а також дорожньої інфраструктури у м. Києві</t>
  </si>
  <si>
    <t xml:space="preserve">на співфінансування придбання ангіографічного комплексу для КУ "Обласна клінічна лікарня ім. О.Ф.Гербачевського" Житомирської обласної ради </t>
  </si>
  <si>
    <t>на придбання комплекту автономної системи освітлення на основі фотоелектричних (сонячних) модулів  для встановлення по провулку Річний в смт Пулини</t>
  </si>
  <si>
    <t>для Овруцької районної державної адміністрації Житомирської області на придбання системного блоку для УПСЗН Овруцької РДА Житомирської області</t>
  </si>
  <si>
    <t>9.</t>
  </si>
  <si>
    <t>Програма матеріально-технічного забезпечення 4-го батальйону територіальної громади Житомирської області та Житомирського обласного військового комісаріату на 2018-2020 роки</t>
  </si>
  <si>
    <t>5.</t>
  </si>
  <si>
    <t>6.</t>
  </si>
  <si>
    <t>на придбання канцелярських товарів (5000), ремонт комп'ютерної техніки (8000) придбання принтера (12000) для УПСЗН Брусилівської РДА</t>
  </si>
  <si>
    <t>Заміна покриття покрівлі обласного військомату по вул. С. Параджанова, 4 в м. Житомирі (Капітальний ремонт)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</si>
  <si>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</si>
  <si>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Субвенція з місцевого бюджету на формування інфраструктури об"єднаних територіальних громад за рахунок відповідної субвенції з державного бюджету</t>
  </si>
  <si>
    <t>Субвенція з державного бюджету місцевим бюджетам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 1 статті 10 Закону України "Про статус ветеранів війни, гарантії їх соціального захисту", для осіб з інвалідністю І-ІІ групи з числа учасників бойових дій на території інших держав, які стали інвалідами внаслідок поранення, контузії, каліцтва або захворювання, пов"язаних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</si>
  <si>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співфінансування придбання шкільного автобуса</t>
  </si>
  <si>
    <t xml:space="preserve">на співфінансування придбання шкільного автобуса за програмою "Шкільний автобус" </t>
  </si>
  <si>
    <t>капітальний ремонт (енергоефективна термосанація) будівлі гімназії в с.Грозине вул.Шкільна,6 Коростенського району Житомирської області</t>
  </si>
  <si>
    <t>співфінансування проекту "Капітальний ремонт внутрішніх приміщень із створенням нового освітнього простору за стандартами Новоукраїнської школи (НУШ) у Високівській гімназії Високівської сільської ради за адресою: вул.Центральна 15, с. Високе Черняхівського району Житомирської області</t>
  </si>
  <si>
    <t>співфінансування проекту "Реконструкція покрівлі з утепленням фасадів Черняхівської гімназії по вул. Червоноармійська, 14 в смт. Черняхів Житомирської області"</t>
  </si>
  <si>
    <t>Черняхівський селищний бюджет</t>
  </si>
  <si>
    <t>співфінансування на реконструкцію очисних споруд каналізації  КП "Черняхів-Добробут" по вул. Індустріальній в смт. Черняхів</t>
  </si>
  <si>
    <t>Додаток 1.5</t>
  </si>
  <si>
    <t xml:space="preserve">  Субвенції з місцевих бюджетів до обласного бюджету на формування інфраструктури об"єднаних територіальних громад за рахунок відповідної субвенції з державного бюджету на 2018 рік</t>
  </si>
  <si>
    <t>Семенівськиий  сільський бюджет</t>
  </si>
  <si>
    <t>співфінансування проекту "Капітальний ремонт будівлі (термомодернізація) Хажинської загальноосвітньої школи І-ІІІ ступенів Семенівської сільської ради Житомирської області за адресою: Житомирська область, Бердичівський район, с.Хажин, вул. Двірська, 42"</t>
  </si>
  <si>
    <t>0813223</t>
  </si>
  <si>
    <t>3223</t>
  </si>
  <si>
    <t>Грошова компенсація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осіб з інвалідністю І-ІІ групи з числа учасників бойових дій на території інших держав, які стали інвалідами внаслідок поранення, контузії, каліцтва або захворювання, пов’язаних з перебуванням у цих державах, визначених пунктом 7 частини другої статті 7 Закону України «Про статус ветеранів війни, гарантії їх соціального захисту", та які потребують поліпшення житлових умов</t>
  </si>
  <si>
    <t>0819243</t>
  </si>
  <si>
    <t>9243</t>
  </si>
  <si>
    <t>Капітальний ремонт (енергоефективна термосанація) будівлі гімназії в с.Грозине вул.Шкільна,6 Коростенського району Житомирської області</t>
  </si>
  <si>
    <t>Капітальний ремонт внутрішніх приміщень із створенням нового освітнього простору за стандартами Новоукраїнської школи (НУШ) у Високівській гімназії Високівської сільської ради за адресою: вул.Центральна 15, с. Високе Черняхівського району Житомирської області</t>
  </si>
  <si>
    <t>Реконструкція покрівлі з утепленням фасадів Черняхівської гімназії по вул. Червоноармійська, 14 в смт. Черняхів Житомирської області</t>
  </si>
  <si>
    <t xml:space="preserve">         С.М. Крамаренко</t>
  </si>
  <si>
    <t>Субвенція з державного бюджету місцевим бюджетам на виплату грошової компенсації за належні для отримання жилі приміщення для сімей загиблих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</si>
  <si>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 xml:space="preserve">на співфінансування проекту "Реконструкція (ефективна термосанація) Червоненського ДНЗ "Калинка" по вул. Терещенка, 3а, смт Червоне Андрушівського району Житомирської області </t>
  </si>
  <si>
    <t>0813048</t>
  </si>
  <si>
    <t>0813040</t>
  </si>
  <si>
    <t>Надання допомоги сім'ям з дітьми, малозабезпеченим сім’ям, тимчасової допомоги дітям</t>
  </si>
  <si>
    <t>3040</t>
  </si>
  <si>
    <t>3048</t>
  </si>
  <si>
    <t>Надання при народженні дитини одноразової натуральної допомоги «пакунок малюка»</t>
  </si>
  <si>
    <t>сесія 26.07.2018</t>
  </si>
  <si>
    <t>сесія 26.07.2017</t>
  </si>
  <si>
    <t>сесія 26.07.2019</t>
  </si>
  <si>
    <t>співфінансування на реконструкцію ЗОШ І-ІІІ ст. с.Словечне Овуцького району Житомирської області</t>
  </si>
  <si>
    <t>співфінансування проекту "Реконструкція (термомодернізація) Квітневої ЗОШ І-ІІІ ст. по вул.Першотравневій, 5, в с.Квітневе Попільнянського району Житомирської області"</t>
  </si>
  <si>
    <t>співфінансування на капітальний ремонт Пулинської ЗОШ І-ІІІ ст. за адресою: смт Пулини вул.Шевченка,158 Житомирської області  (комплексна термосанація)</t>
  </si>
  <si>
    <t>на співфінансування по реконструкції (ефективна термосанація) в приміщенні Липненської ЗОШ І-ІІІ ст. в с.Липне Любарського району, Житомирської області</t>
  </si>
  <si>
    <t>співфінансування проекту "Реконструкція будівлі по вул.Київській, 53 м.Коростишів Житомирської області під приміщення для позашкільного навчального закладу (зовнішні інженерні мережі та благоустрій)"</t>
  </si>
  <si>
    <t>Поточний ремонт даху за адресою:м.Житомир, вул. Юрка Тютюнника, 11а</t>
  </si>
  <si>
    <t>Поточний ремонт санвузла для учнів перших класів ЗОШ І-ІІІ ступенів №6 м.Житомира</t>
  </si>
  <si>
    <t>Придбання матеріалів для проведення робіт по заміні вікон  та вхідних дверей в ж/б №12 по провулку Вокзальному м.Житомир</t>
  </si>
  <si>
    <t>Придбання та встановлення встановлення вхідних дверей ОСББ "Техносервіс" м.Житомир</t>
  </si>
  <si>
    <t>Встановлення енергозберігаючих вікон на сходинкових клітинах для ОСББ "Сорочинці-19"</t>
  </si>
  <si>
    <t>Придбання музичних інструментів для ЗОШ І-ІІІ ст. №1 м. Житомир</t>
  </si>
  <si>
    <t>Придбання меблів для методичного кабінету для ЗОШ І-ІІІ ст. №32 м. Житомир</t>
  </si>
  <si>
    <t>Придбання м"яких модулів та спортивних лав в спортивний зал ДНЗ №6 м.Житомир</t>
  </si>
  <si>
    <t>Придбання сушильної машини та посуду для НВК №11 м.Житомир</t>
  </si>
  <si>
    <t>Придбання світлодіодних світильників для ДНЗ №15 м.Житомир</t>
  </si>
  <si>
    <t>Оплата послуг по поточному ремонту віконних грат для ЗОШ І-ІІІ ст. №28 м.Житомир</t>
  </si>
  <si>
    <t>Придбання меблів, комп"ютерної техніки, міжкімнатних дверей для ЗОШ І-ІІІ ст.№10 м.Житомир</t>
  </si>
  <si>
    <t>Капітальний ремонт м"яких покрівель житлових будинків по вул.Одеській, 38/2; вул.Одеській, 51; вул.Євгена Старікова,4; вул.Євгена Старікова,6; вул.Братів Міхеєвих,1 в м.Бердичеві (МКВЖРЕП № 7)</t>
  </si>
  <si>
    <t>Придбання та встановлення дитячого ігрового майданчика на прибудинковій території житлового будинку по вул.Вінницькій,57 в м. Бердичеві (ОСББ "Авангард - 57")</t>
  </si>
  <si>
    <t>Капітальний ремонт вулиці Інтернаціоналістів у м. Бердичеві</t>
  </si>
  <si>
    <t>Придбання лабораторного обладнання для Бердичівської ЦМЛ</t>
  </si>
  <si>
    <t xml:space="preserve">Придбання та встановлення дитячого спортивно-ігрового майданчика для ОСББ "Світлий будинок - 50" в м. Бердичеві </t>
  </si>
  <si>
    <t>Придбання та встановлення дитячого ігрового майданчика на прибудинковій території житлових будинків по вул.Одеській,36/1, 38/2 в м. Бердичеві (МК ВЖРЕП № 7)</t>
  </si>
  <si>
    <t>Капітальний ремонт електромережі гуртожитку по вул. Ш. Алейхема, 70а ОСББ "Дружба-2016"</t>
  </si>
  <si>
    <t>Ремонт кабінетів природничо-математичного циклу Райгородоцької ЗОШ І-ІІІ ст.</t>
  </si>
  <si>
    <t>Капітальний ремонт по заміні вікон та дверей на металопластикові для Романівської гімназії</t>
  </si>
  <si>
    <t>Капітальний ремонт вхідної групи приміщень Романівської гімназії</t>
  </si>
  <si>
    <t xml:space="preserve">Поточний ремонт кімнат (195,0) та придбання обладнання (55,0) для Романівського районного Будинку культури </t>
  </si>
  <si>
    <t>Капремонт вуличного освітлення сіл Миролюбівка та Червоний Степок Житомирського району</t>
  </si>
  <si>
    <t>Придбання меблів, комп"ютерної техніки, жалюзей та світильників для Васьковицької середньої ЗОШ І-ІІІ ст.</t>
  </si>
  <si>
    <t>Будівництво туалету у Васьковицькій середній ЗОШ І-ІІІ ст.</t>
  </si>
  <si>
    <t>Придбання пральної машини для Коростенської ЦРЛ</t>
  </si>
  <si>
    <t>Придбання профнастилу для заміни покрівлі актового залу, спортзалу, бібліотеки та їдальні Липниківської ЗОШ І-ІІІ ст.</t>
  </si>
  <si>
    <t>Придбання інтерактивної дошки для Вигнанської ЗОШ І-ІІ ст.</t>
  </si>
  <si>
    <t>Придбання комп"ютерного обладнання для Любовицького НВК "ДНЗ-ЗНЗ І ступеня"</t>
  </si>
  <si>
    <t>Придбання меблів для Гранітнянського ДНЗ "Дзвіночок"</t>
  </si>
  <si>
    <t>Придбання дитячих майданчиків для ДНЗ в с.Гульськ</t>
  </si>
  <si>
    <t>Придбання матеріалів для ремонту котельні Листвинської ЗОШ І-ІІІ ст.</t>
  </si>
  <si>
    <t>Ремонт Тхоринської ЗОШ І-ІІІ ст. (заміна віконних блоків)</t>
  </si>
  <si>
    <t>Ремонт Листвинського закладу дошкільної освіти</t>
  </si>
  <si>
    <t>Ремонт Листвинського ФАПу</t>
  </si>
  <si>
    <t>Поточний ремонт на стадіоні "Колос" с.Заріччя</t>
  </si>
  <si>
    <t>Придбання колоскопа для Ружинської ЦРЛ</t>
  </si>
  <si>
    <t>Придбання біохімічного аналізатора для Пулинського ЦПМСД</t>
  </si>
  <si>
    <t>Облаштування внутрішніх туалетів в Селянщинському спортивному ліцеї</t>
  </si>
  <si>
    <t>Придбання матеріалів та виконання робіт по відновленню вуличного освітлення с.Дівочки</t>
  </si>
  <si>
    <t>Придбання апарату штучної вентиляції новонароджених для Черняхівського ТМО</t>
  </si>
  <si>
    <t>Ремонт приміщення Молочківської ЗОШ І-ІІ ст.(заміна дверей)</t>
  </si>
  <si>
    <t>Придбання обладнання, матеріалів та їх встановлення для облаштування системи відеоспостереження в рамках програми "Безпечне місто"</t>
  </si>
  <si>
    <t>Капітальний ремонт покрівлі житлового будинку по вул.Звягельській, 40-б в м.Баранівка</t>
  </si>
  <si>
    <t>Придбання ліжечок для ДНЗ "Чебурашка" №15 с.Жубровичі</t>
  </si>
  <si>
    <t>Поточний ремонт вуличного освітлення в с. Кишин</t>
  </si>
  <si>
    <t>Придбання матеріалів для поточного ремонту ФАПу в с.Копище</t>
  </si>
  <si>
    <t>Закупівля парт для Варварівської ЗОШ І-ІІІ ст.</t>
  </si>
  <si>
    <t>Виготовлення ПКД на капітальний ремонт вул. Шкільна в м.Олевськ</t>
  </si>
  <si>
    <t>Придбання металопластикових вікон для будинку культури с.Кишин</t>
  </si>
  <si>
    <t>Поточний ремонт в приміщенні клініко-діагностичної лабораторії Олевської центральної лікарні</t>
  </si>
  <si>
    <t>Придбання меблів для шкіл Довбиської ОТГ</t>
  </si>
  <si>
    <t>Закупівля вікон та дверей для Лугинської музичної школи</t>
  </si>
  <si>
    <t>Придбання ноутбука, колонок, монітора для Котлярської ЗОШ І-ІІ ст.</t>
  </si>
  <si>
    <t>Придбання стільців для Попільнянської гімназії №1</t>
  </si>
  <si>
    <t>Придбання телевізора для Попільнянського ДНЗ "Берізка"</t>
  </si>
  <si>
    <t>Придбання дитячих іграшок та матеріалів для поточного ремонту для Миролюбівського ДНЗ "Сонечко"</t>
  </si>
  <si>
    <t>Придбання відеокамери для Попільнянської дитячої музичної школи</t>
  </si>
  <si>
    <t>Придбання металопластикових вікон для Зубринської ЗОШ І-ІІІ ст.</t>
  </si>
  <si>
    <t>Ремонт Барашівського дитячого садка</t>
  </si>
  <si>
    <t>Придбання інтерактивних дошок для Любарської гімназії №1, Мотовилівської ЗОШ І-ІІІ ст., Великодеривичівської ЗОШ І-ІІІ ст., Привітівської ЗОШ І-ІІІ ст.</t>
  </si>
  <si>
    <t>Заміна вікон у сільському будинку культури с.Тхорин</t>
  </si>
  <si>
    <t>Придбання бензопил для Словечанської ЗОШ І-ІІІ ст. (Сирницька та Білківська філії)</t>
  </si>
  <si>
    <t>Придбання предметів і матеріалів для огорожі Словечанської ЗОШ І-ІІІ ст. (Антоновицька філія)</t>
  </si>
  <si>
    <t>Придбання фарби для Словечанської ЗОШ І-ІІІ ст. (Городецька філія)</t>
  </si>
  <si>
    <t>Придбання фарби для Тхоринської ЗОШ І-ІІІ ст.</t>
  </si>
  <si>
    <t>Благоустрій території Великолугівського ДНЗ "Україночка"</t>
  </si>
  <si>
    <t>Поточний ремонт водогінної мережі по вул.Вишнева в с.Соколів</t>
  </si>
  <si>
    <t>Придбання житла багатодітній сім"ї, переселенці з Донецької області Сорокіній І.М.</t>
  </si>
  <si>
    <t>Придбання жалюзей та меблів для Оліївської ЗОШ І-ІІ ст.</t>
  </si>
  <si>
    <t>Придбання медичного обладнання для Брусилівcької ЦРЛ</t>
  </si>
  <si>
    <t>Придбання предметів і матеріалів  та на проведення поточного ремонту спортивної зали та роздягалень Бовсунівського НВК "Школа-дитячий садок" ім.П.П.Бовсунівського  в с.Бовсуни</t>
  </si>
  <si>
    <t>0117690</t>
  </si>
  <si>
    <t>0117693</t>
  </si>
  <si>
    <t>Реконструкція спорткомплексу "Динамо" за рахунок розбудови за адресою пров.Шкільний,8 м.Радомишль, Радомишльського району, Житомирської області</t>
  </si>
  <si>
    <t>Капітальний ремонт Пулинської ЗОШ  І-ІІІ ст. за адресою: смт.Пулин,вул.Шевченка,158, Житомирської обл. (комплексна термосанація) (коригування)</t>
  </si>
  <si>
    <t>Реконструкція (термомодернізація) Квітневої ЗОШ І - ІІІ ступенів по вул. Першотравнева, 5 в с.Квітневе Попільнянського р-ну Житомирської обл.</t>
  </si>
  <si>
    <t>Реконструкція очисних споруд каналізації КП "Черняхів-Добробут" по вул. Індустріальній в смт. Черняхів</t>
  </si>
  <si>
    <t>1612070</t>
  </si>
  <si>
    <t>Обласна програма з національно-патріотичного виховання дітей та молоді на 2018-2021 роки, рішення обласної ради від 31.05.2018 № 1021</t>
  </si>
  <si>
    <t xml:space="preserve">на придбання меблів для Житомирського ДНЗ № 10 </t>
  </si>
  <si>
    <t>на придбання дитячих меблів та промислової м"ясорубки для Житомирського дошкільного навчального закладу № 32</t>
  </si>
  <si>
    <t>на придбання мультипроекторного комплексу (у складі проектора, ноутбука, екрану) для Житомирської гуманітарної гімназії №1</t>
  </si>
  <si>
    <t>на зрізання та кронування аварійних дерев на прибудинковій території для ОСББ "Комфорт-Полісся"</t>
  </si>
  <si>
    <t xml:space="preserve">на придбання металопластикового вікна (6000,00грн.), офісного стільця (1000,00 грн.) та БФП (5000,00 грн.) для 2-Г класу ліцею № 25 </t>
  </si>
  <si>
    <t>на придбання спортивного обладнання, інвентарю для Житомирського ДНЗ № 26</t>
  </si>
  <si>
    <t>на поточний ремонт системи водопостачання та каналізації підвального приміщення в будинку за адресою м.Житомир, вул. Гоголівська55 для ОСББ "Гоголя 55"</t>
  </si>
  <si>
    <t>на поточний ремонт під"їздів у будинку за адресою м.Житомир, майдан Соборний 5/1 для ОСББ "Соборний квартал"</t>
  </si>
  <si>
    <t>на придбання учнівських дошок та меблів для ЗОШ І-ІІІ ст. №26 м. Житомира</t>
  </si>
  <si>
    <t>на придбання медичного обладнання для КУ "Центральна міська лікарня №2" м. Житомир (Апарат вакумної терапії ран (ВАК-апарат) для хірургічного відділення)</t>
  </si>
  <si>
    <t>на придбання будівельних матеріалів та проведення ремонтно-будівельних робіт в трьох будинках ОСББ "Мистецький" м. Житомир</t>
  </si>
  <si>
    <t>на придбання та встановлення лавок для "ЖБК №2"</t>
  </si>
  <si>
    <t>на придбання металевої огороджувальної сітки "рябиця" на проведення благоустрою прибудинкової території житлового будинку №2 майдан Короленка для КП "ВЖРЕП №5"</t>
  </si>
  <si>
    <t>на придбання шаф для дитячого одягу для молодшої групи "А" Житомирського ДНЗ №40</t>
  </si>
  <si>
    <t>на придбання та облаштування світильниками класної кімнати 5-Г класу  Житомирської ЗОШ І-ІІІ ст. №5</t>
  </si>
  <si>
    <t>на придбання та встановлення дитячого ігрового комплексу на перехресті вул. Троянівська та Радивилівська для КП "Зеленбуд" Житомирської міської ради</t>
  </si>
  <si>
    <t>на закупівлю матеріалів та обладанання для покращення житлово-побутових умов учнів гуртожитку "Житомирського вищого професійного технологічного училища"</t>
  </si>
  <si>
    <t>на придбання водонагрівачів для ДНЗ № 4 та ДНЗ № 7 м. Бердичева</t>
  </si>
  <si>
    <t>на придбання водонагрівача для ДНЗ № 7 м. Бердичева</t>
  </si>
  <si>
    <t>на капітальний ремонт вул.Інтернаціоналістів в м. Бердичеві</t>
  </si>
  <si>
    <t xml:space="preserve">на придбання комунікатора для проведення реабілітації по спілкуванню та логопедичній корекції для Центру соціальної реабілітації дітей-інвалідів  м. Бердичева </t>
  </si>
  <si>
    <t>на придбання екрана переносного на триніжці для проектора (3000) та ноутбука (10000) для ДНЗ №27 "Мальва"</t>
  </si>
  <si>
    <t>на придбання сантехнічного обладнання (унітаз-компакт) для інфекційного відділення Бердичівської ЦМЛ</t>
  </si>
  <si>
    <t>на придбання дитячих ліжок для спальні для молодшої групи Б "Квіткова галявина" ЗДО №28 "Казка"</t>
  </si>
  <si>
    <t xml:space="preserve">на придбання та встановлення дитячого ігрового майданчика на прибудинковій території житлового будинку по вул. Братів Міхеєвих в м. Бердичеві для ОСББ "Зоряний-6-БМ" </t>
  </si>
  <si>
    <t>на придбання та встановлення дитячого ігрового майданчика на прибудинковій території житлових будинків по вул.Одеській,36/1, 38/2 в м. Бердичеві для МК ВЖРЕП №7.</t>
  </si>
  <si>
    <t>на придбання та встановлення дитячого ігрового майданчика на прибудинковій території житлового будинку по вул. Зоряній, 30Б, в м. Бердичеві (МК ВЖРЕП №7)</t>
  </si>
  <si>
    <t>на придбання 40 рулонів рубероїду для поточного ремонту покрівлі у будинках за адресою вул. Зоряна, 29А, 29Б, м.Бердичів (ОСББ "Діамант -29")</t>
  </si>
  <si>
    <t>на придбання обладнання для ігрового майданчика для ДНЗ №4 "Берегиня"</t>
  </si>
  <si>
    <t>на придбання дитячих ліжечок для ДНЗ №15 "Ромашка"</t>
  </si>
  <si>
    <t>на поточний ремонт приміщення 3-а класу (25000) , на придбання шкільної дошки 3-а класу (4200), на придбання будматеріалів на поточний ремонт приміщення 4-б класу (7300), придбання накладних точкових світильників для СЗОШ з поглибленим вивченням окремих предметів та курсів І-ІІІ ст. №17</t>
  </si>
  <si>
    <t>на придбання та встановлення дитячого ігрового майданчика на прибудинковій території житлового будинку по вул Руській,12 в  м. Бердичеві (МК ВЖРЕП № 7)</t>
  </si>
  <si>
    <t>на придбання та встановлення дитячого ігрового майданчика на прибудинковій території житлового будинку по вул Чкалова, 15-А в м. Бердичеві (МК ВЖРЕП № 7)</t>
  </si>
  <si>
    <t>на придбання та встановлення дитячого ігрового майданчика на прибудинковій території житлового будинку по вул Козацькій, 58 в м. Бердичеві (МК ВЖРЕП № 7)</t>
  </si>
  <si>
    <t>на придбання та встановлення дитячого ігрового майданчика на прибудинковій території житлового будинку по вул Садовій,51/30 в м. Бердичеві (ПП "Житлоремекс 2")</t>
  </si>
  <si>
    <t>на капітальний ремонт віконних заповнень в під"їздах житлового будинку на пл. Соборній, 22 в м.Бердичеві (МК ВЖРЕП №7)</t>
  </si>
  <si>
    <t xml:space="preserve">на придбання та встановлення дитячого спортивного майданчика на прибудинковій території по вул. Раскової ,22 в м. Бердичеві (ОСББ "Берегиня -22 ") </t>
  </si>
  <si>
    <t>на придбання спортивно-ігрового комплексу по вул. Доватора, 43</t>
  </si>
  <si>
    <t>на придбання дитячого ігрового комплексу по вул. Маяковського, 39</t>
  </si>
  <si>
    <t>на придбання дитячого ігрового комплексу по вул. Шевченка, 14-А для ОСББ "Поліська злагода"</t>
  </si>
  <si>
    <t>на придбання вуличного ліхтаря та комплекту обладнання по вул. Шевченка, 14-А для ОСББ "Поліська злагода"</t>
  </si>
  <si>
    <t>на придбання дитячого ігрового комплексу по вул. Ш.Алейхема, 71А для ОСББ "Ш.Алейхема, 71-А"</t>
  </si>
  <si>
    <t xml:space="preserve">на фінансову підтримку (на придбання ноутбука) для Будинку культури ПОГ Коростенське УВП УТОС </t>
  </si>
  <si>
    <t>на придбання та встановлення світлодіодних світильників на під"їздах багатоквартирних житлових будинків у м. Коростені</t>
  </si>
  <si>
    <t>на придбання обладнання для ЗОШ № 13 м. Коростень</t>
  </si>
  <si>
    <t>на будівництво хірургічного корпусу Новоград -Волинського міськрай ТМО</t>
  </si>
  <si>
    <t>на придбання дитячих меблів для ДНЗ №1 м. Малина</t>
  </si>
  <si>
    <t xml:space="preserve"> на придбання меблів (столів та шаф) у методичний кабінет для дитячого ясла - садок №4 м. Малин</t>
  </si>
  <si>
    <t>на придбання медичного обладнання для Малинського міськрайонного теріторіального медичного об"єднання</t>
  </si>
  <si>
    <t xml:space="preserve">на придбання килимового покриття у музично-спортивну залу для Центру розвитку дитини "Сонечко" м.Малин </t>
  </si>
  <si>
    <t>на придбання дитячого ігрового майданчика для м. Малин вул. Лісовий кордон, 58</t>
  </si>
  <si>
    <t>на придбання сучасних дитячих ігрових куточків для Малинського ДНЗ № 4 "Калинонька"</t>
  </si>
  <si>
    <t>на придбання металопластикових вікон для ЦРД "Сонечко"</t>
  </si>
  <si>
    <t>на придбання комп"ютерної техніки (ноутбук, проектор, екран, кронштейн для проектора) для Малинської ЗОШ І-ІІІ ст. № 6</t>
  </si>
  <si>
    <t>на придбання телевізора для Малинської ЗОШ І-ІІІ ст. № 5</t>
  </si>
  <si>
    <t>на придбання ігрового комплексу для його подальшого встановлення в межах прибудинкової території будинку № 20 вул. Героїв Малинського Підпілля</t>
  </si>
  <si>
    <t>на придбання стінки меблевої та дошки аудиторної для Малинської ЗОШІ-ІІІ ст. № 3</t>
  </si>
  <si>
    <t>на придбання ноутбуків, телевізорів, кольорового принтера для Малинського ЗНВК "Школа -ліцей № 1 ім. Ніни Сосніної" І-ІІІ ст.</t>
  </si>
  <si>
    <t>на придбання та встановлення  дитячого спортивного майданчика по вул. Івана Франка біля багатоповерхових будинків №65, №67 в м. Андрушівка</t>
  </si>
  <si>
    <t>на придбання фотоапарата для Першотравенського ДНЗ "Мрія"</t>
  </si>
  <si>
    <t>на придбання музичної апаратури: мікшерний пульт (6000), мікрофон з шнурами 2шт. (4000) для будинка культури с. Райгородок</t>
  </si>
  <si>
    <t>на придбання та встановлення відеоспостереження (відеокамер,відеореєстратора, жорсткого диска до відеореєстратора, блоку живлення, акумулятора, роз"єму під колодку, роз"єму живлення, кабелю, монтажні роботи, пусконалагоджувальні роботи) для ДЮСШ Бердичівського району</t>
  </si>
  <si>
    <t>на проведення  поточного ремонту в приміщеннях побутового призначення для КП "Оздоровчий дитячо-юнацький заклад "Березовий гай" Бердичівської районної ради</t>
  </si>
  <si>
    <t>на придбання матеріалів для поточного ремонту та медичного обладнання (стіл розтинів секційний) патологоанатомічного відділення Хорошівської ЦРЛ</t>
  </si>
  <si>
    <t>на ремонт автобуса для Будо-Рижанської ЗОШ І-ІІІ ст. Хорошівського району</t>
  </si>
  <si>
    <t>на придбання обладнання для дитячої ігрової кімнати в педіатричному відділенні та постільної білизни Хорошівській ЦРЛ</t>
  </si>
  <si>
    <t>на закупівлю комп"ютерного комплексу  з програмним забезпеченням для закладу загальної середньої освіти Великоцвілянської ЗОШ І-ІІІ ст.</t>
  </si>
  <si>
    <t>на придбання апарату УВЧ для Миколаївської амбулаторії ЗПСМ КУ "Ємільчинський центр ПМСД" Ємільчинської райради</t>
  </si>
  <si>
    <t>на придбання принтера для Миколаївської ЗОШ І-ІІІ ст відділу освіти Ємільчинської РДА</t>
  </si>
  <si>
    <t>на ремонт сходів парадного входу у закладі загальної середньої освіти Великоцвілянської ЗОШ І-ІІІ ст</t>
  </si>
  <si>
    <t>на придбання мультимедійної дошки, ламінатора, пилососа для Левківського ДНЗ "Золотий ключик"</t>
  </si>
  <si>
    <t>на придбання ноутбука для районної бібліотеки для дітей с. Левків</t>
  </si>
  <si>
    <t>на придбання мультимедійного проектора для ДНЗ "Малятко" с. Вертокиївка</t>
  </si>
  <si>
    <t>на придбання нагороджувальної атрибутики (кубки, медалі, статуетки) для КУ "Новогуйвинська комплексна дитячо-юнацька спортивна школа" Житомирської районної ради</t>
  </si>
  <si>
    <t>на придбання спортивних костюмів для футбольної команди "Нива-Екстрим" с. Іванівка</t>
  </si>
  <si>
    <t>на придбання двох велосипедів для Вересівської сільської ради</t>
  </si>
  <si>
    <t>на придбання учнівських стільців у кабінет №218 Новогуйвинської гімназії</t>
  </si>
  <si>
    <t>на облаштування благоустрою кладовища с. Сінгурі</t>
  </si>
  <si>
    <t>на придбання спортивно-тренажерного майданчика в смт Озерне для КУ "Новогуйвинська комплексна дитячо-юнацька спортивна школа"</t>
  </si>
  <si>
    <t>на придбання спортивно-тренажерного майданчика в смт Новогуйвинське для КУ "Новогуйвинська комплексна дитячо-юнацька спортивна школа"</t>
  </si>
  <si>
    <t>на придбання спортивного інвентаря для збірної команди з футболу (вітровки спортивні тренувальні) для КУ "Новогуйвинська комплексна дитячо-юнацька спортивна школа"</t>
  </si>
  <si>
    <t>на придбання шкільних меблів для облаштування 3-Б класу Новогуйвинської гімназії</t>
  </si>
  <si>
    <t xml:space="preserve">на поточний  ремонт підлоги для групи "Колосок" Новогуйвинського ДНЗ "Дзвіночок" </t>
  </si>
  <si>
    <t>на придбання ноутбука для Іванівської СЗШ І ст.</t>
  </si>
  <si>
    <t>на придбання ноутбука для Михайлівської СЗШ І-ІІ ст.</t>
  </si>
  <si>
    <t>на придбання ноутбука та кольорового принтера для бібліотеки с. Михайлівка</t>
  </si>
  <si>
    <t xml:space="preserve">на придбання та заміну сантехніки для Михайлівської СЗШ І-ІІ ст. </t>
  </si>
  <si>
    <t>на придбання одномісних комплектів парт з полицею (у комплекті парта і стілець) з регулюванням по висоті у кількості 10 комплектів для Ковалівської СЗОШ І ст.</t>
  </si>
  <si>
    <t>на придбання бензокоси-кущоріза для Новаківської сільської ради</t>
  </si>
  <si>
    <t>на придбання ноутбуку та дамського велосипеду для Мединівської сільської ради</t>
  </si>
  <si>
    <t>на придбання ноутбуку для ДНЗ "Сонечко" Лісівщинської сільської ради</t>
  </si>
  <si>
    <t>на придбання музичної апаратури для Будинку культури с. Михайлівка</t>
  </si>
  <si>
    <t>на придбання музичного обладнання для дитячого садка Михайлівської сільської ради</t>
  </si>
  <si>
    <t>на поповнення книжкового фонду для Михайлівської сільської бібліотеки Михайлівської сільської ради</t>
  </si>
  <si>
    <t>на придбання ноутбуку для Михайлівської СЗОШ І-ІІ ст.</t>
  </si>
  <si>
    <t xml:space="preserve">на ремонт приміщення амбулаторії АЗПСМ № 9 с. Васьковичі </t>
  </si>
  <si>
    <t>на придбання матеріалів та обладнання для підключення до мережі інтернет (від інтернет провайдера "Інтертелеком") для Лісівщинської СЗОШ І-ІІІ ст. імені О. Дубінчука</t>
  </si>
  <si>
    <t>на придбання лінолеуму для дитячого садка "Теремок" Хотинівської сільської ради</t>
  </si>
  <si>
    <t>на виконання робіт по облаштуванню засобами дистанційної передачі комерційного вузла обліку газу (радіомодуля) газової котельні, що опалює Хотинівську сільську раду</t>
  </si>
  <si>
    <t>на придбання електрокардіографа 3-канальний ВЕ 300 Біомед для амбулаторії загальної практики №10 с.Мелені</t>
  </si>
  <si>
    <t>на проведення поточного ремонту у Васьковицькій середній загальноосвітній школі І-ІІІ ступенів</t>
  </si>
  <si>
    <t>на придбання тенів для ремонту котла електроопалення для ФАП с. Мала Зубівщина КНП "Коростенський районний центр первинної медико-санітарної допомоги"</t>
  </si>
  <si>
    <t>на придбання телевізора та андроїдної приставки для 1 класу Малозубівщинської середньої ЗОШ І-ІІІ ст.</t>
  </si>
  <si>
    <t>на придбання двох шкільних дошок (коркову та комбіновану) для Холосненської СЗОШ І-ІІІ ст.</t>
  </si>
  <si>
    <t>на придбання оргтехніки (трьох ноутбуків та двох БФП для КЗ "Центр ПМСД Коростишівського району"</t>
  </si>
  <si>
    <t>на придбання музичної апаратури для Будинку культури с. Торчин</t>
  </si>
  <si>
    <t>на придбання матеріалу для завершення ремонту в стаціонарному корпусі № 2 Коростишівської ЦРЛ ім. Д.І. Потєхіна</t>
  </si>
  <si>
    <t>на проведення поточного ремонту приміщення краєзнавчого музею для ЗОШ І-ІІІ ст. с. Липники</t>
  </si>
  <si>
    <t>на придбання металопластикових вікон для терапевничного та хірургічного відділень Любарської центральної районної лікарні</t>
  </si>
  <si>
    <t>на придбання мультимедійного проектора для Новочорторийської ЗОШ І-ІІІ ст.</t>
  </si>
  <si>
    <t>на придбання будівельних матеріалів для Стрижівської ЗОШ І-ІІІ ст.</t>
  </si>
  <si>
    <t>на придбання меблів для методичного кабінету Старочорторийської ЗОШ І-ІІ ст.</t>
  </si>
  <si>
    <t>на заміну вікон для Морозівської ЗОШ І-ІІ ст.</t>
  </si>
  <si>
    <t>на придбання матеріалів для поточного ремонту стелі для Будинку культури с. Скурати</t>
  </si>
  <si>
    <t>на придбання двох ноутбуків для Слобідської ЗОШ І-ІІ ступенів с.Слобідка</t>
  </si>
  <si>
    <t xml:space="preserve">на придбання ноутбука в школу та відеопроектора в садок для Малинівського НВК "ДНЗ-ЗНЗ І-ІІІ ступенів" </t>
  </si>
  <si>
    <t>на придбання обладнання для спортивного залу спортивні мати,шведська стінка, піратська сітка, канат, волейбольне обладнання, тенісний стіл) для Любовицького НВК "ДНЗ-ЗНЗ І ст."</t>
  </si>
  <si>
    <t>на придбання акустичної системи для Гранітнянської ЗОШ І-ІІІ ст.</t>
  </si>
  <si>
    <t>на придбання бензокоси та ноутбука Нововороб"ївському "ДНЗ-ЗНЗ І-ІІІ ст." с. Нові Вороб"ї</t>
  </si>
  <si>
    <t>на придбання комп"ютерної та копіювальної техніки  для Українківської ЗОШ І ІІІ ст. с. Українка</t>
  </si>
  <si>
    <t>на придбання дитячих меблів для ДНЗ "Дзвіночок" смт Гранітне</t>
  </si>
  <si>
    <t>на придбання лінолеуму та плит для вирівнювання підлоги для ЗОШ І-ІІІ ст. с. Кикова</t>
  </si>
  <si>
    <t>на придбання лінолеуму та плит для вирівнювання підлоги для ЗОШ І-ІІІ ст. с. Сусли</t>
  </si>
  <si>
    <t>на придбання лінолеуму та плит для вирівнювання підлоги для ЗОШ І-ІІІ ст. с. Колодянка</t>
  </si>
  <si>
    <t>на придбання комп"ютерного обладнання для АЗПСМ с. Пищів</t>
  </si>
  <si>
    <t>на придбання БФП/принтера для Великомолодьківської АЗПСМ</t>
  </si>
  <si>
    <t>на придбання БФП/принтера для Орепівської АЗПСМ</t>
  </si>
  <si>
    <t>на капітальний ремонт водонапірної вежі по вул. Центральна в с. Нові Велідники Овруцького району Житомирської області</t>
  </si>
  <si>
    <t>на придбання предметів та матеріалів для вуличних громадських колодязів та криниць для Нововелідницької сільської ради</t>
  </si>
  <si>
    <t>на придбання обладнання класної кімнати учнів першого класу для Прибитківської ЗОШ І-ІІ ступенів</t>
  </si>
  <si>
    <t>на придбання дитячих стільчиків для Нововелідницького ДНЗ</t>
  </si>
  <si>
    <t>на фінансову підтримку (придбання канцтоварів) для ГО "Овруцька районна спілка ветеранів антитерорестичної операції"</t>
  </si>
  <si>
    <t>на фінансову підтримку (придбання ноутбука та принтера) для ГО "Овруцька районна спілка ветеранів афганської війни"</t>
  </si>
  <si>
    <t>на фінансову підтримку (проведення  регіональних заходів) для ГО "Союз ветеранів ліквідації Чорнобильської катастрофи в Овруцькому районі"</t>
  </si>
  <si>
    <t>на придбання науково-методичного забезпечення для учнів 1 класів для Нововелідницького ОНЗ І-ІІІ ст. (для школи та філій Красилівської та Прибитківської ЗОШ І-ІІ ст.)</t>
  </si>
  <si>
    <t>на придбання музичної апаратури для Будинку культури с. Нові Велідники</t>
  </si>
  <si>
    <t>на капітальний ремонт приміщення спортивного комплексу для смт Першотравневе вул. Павлова, 2-б</t>
  </si>
  <si>
    <t>на ремонт протишокової палати у приймальному відділенні для Попільнянської ЦРЛ</t>
  </si>
  <si>
    <t>на придбання ноутбука та принтера для Камянського ДНЗ "Дзвіночок"  Попільнянського району</t>
  </si>
  <si>
    <t>на придбання дитячих столиків для Березянського ДНЗ "Сонечко"</t>
  </si>
  <si>
    <t xml:space="preserve">на придбання предметів, матеріалів, обладнання та інвентарю (49605,00 грн.), на медикамента та перев"язувальні матеріали (80000,00 грн.), на оплату послуг (25000,00 грн.), на придбання обладнання і предметів довгострокового користування (41000,00 грн.) для Ружинської ЦРЛ </t>
  </si>
  <si>
    <t>на заміну вікон на металопластикові для Зарічанської ЗОШ І-ІІ ст.</t>
  </si>
  <si>
    <t>на придбання телевізорів та кронштейнів до них для Білилівської гімназії</t>
  </si>
  <si>
    <t>на переобладнання службового автомобіля із бензинового пального на газове для Територіального центру соціального обслуговування Ружинського району</t>
  </si>
  <si>
    <t>на канцелярські прилади та ритуальні послуги для Ружинської районної організації ветеранів</t>
  </si>
  <si>
    <t>на виготовлення проектно-кошторисної документації для реконструкції глядацької зали районного кінотеатру</t>
  </si>
  <si>
    <t>на придбання ноутбука та принтера для ДНЗ "Золота рибка" Ружинської селищної ради</t>
  </si>
  <si>
    <t>на придбання електроплити, принтера, вай-фай адаптера, камери відеоспостереження, електром"ясорубки, гірки для ігрового майданчика для ДНЗ "Золота рибка" с. Прибережне</t>
  </si>
  <si>
    <t>на поточний ремонт приміщення пральні  для КУ "Центральна районна лікарня Пулинської районної ради"</t>
  </si>
  <si>
    <t>на придбання  ігрового майданчика для Павлівської сільської ради</t>
  </si>
  <si>
    <t>на придбання будівельних матеріалів для Селянщинського спортивного ліцею імені О. Голяченка</t>
  </si>
  <si>
    <t>на придбання антисколіозних парт для Черняхівської ЗОШ І-ІІІ ст.</t>
  </si>
  <si>
    <t>на проведення розрахунків за виготовлений проект та експертизу по облаштуванню внутрішніх санвузлів для Селянщинського спортивоного ліцею</t>
  </si>
  <si>
    <t>на придбання спортивного обладнання для дошкільного закладу № 5 смт Черняхів</t>
  </si>
  <si>
    <t>на заміну вікон та дверей для Новосілківського ФАП  Черняхівського ЦПМСД</t>
  </si>
  <si>
    <t>на придбання сценічних костюмів для колективу дитячої естрадної пісні для Черняхівської ЗОШ І-ІІІ ст.</t>
  </si>
  <si>
    <t>на придбання меблів для ДЗ № 1 смт Черняхів</t>
  </si>
  <si>
    <t>на придбання меблів для ДЗ № 4 смт Черняхів</t>
  </si>
  <si>
    <t>на придбання антисколіозних парт для Головинської гімназії</t>
  </si>
  <si>
    <t>на придбання мультимедійного обладнання для Черняхівської центральної районної бібліотеки</t>
  </si>
  <si>
    <t>на придбання та встановлення трьох пластикових вікон у перев"язочному та операційному кабінетах  для Черняхівського ТМО</t>
  </si>
  <si>
    <t>на придбання бактерицидних опромінювачів для Черняхівського ТМО</t>
  </si>
  <si>
    <t>на придбання ноутбука  (11000) та принтера (6000) для бібліотеки Великогорбашівської сільської ради</t>
  </si>
  <si>
    <t>на придбання енерго-зберігаючих лампочок для вуличного освітлення с. Велика Горбаша</t>
  </si>
  <si>
    <t xml:space="preserve"> на придбання  ігрового майданчика на дитячу площадку в с. Свидя Видиборської сільської ради</t>
  </si>
  <si>
    <t>на придбання антисколіозних парт для учнів початкової школи Черняхівської  ЗОШ І-ІІІ ст.</t>
  </si>
  <si>
    <t>на придбання  шкільних парт, шаф та стільців для обладнання класних кімнат для Селецької ЗОШ І-ІІст.</t>
  </si>
  <si>
    <t>на придбання металопластикових вікон та дверей у корпус №3 для Дівочківської ЗОШ І-ІІ ст.</t>
  </si>
  <si>
    <t>на придбання морозильної камери  в шкільну їдальню  для Горбулівської ЗОШ І_ІІІ ст. ім. В.Н. Мартиненка</t>
  </si>
  <si>
    <t>на придбання холодильника  в їдальню для Головинської гімназії</t>
  </si>
  <si>
    <t>на придбання бойлера для шкільної їдальні Андріївської ЗОШ І-ІІІ ст</t>
  </si>
  <si>
    <t>на придбання матеріалів та металочерепиці для перекриття даху приміщення будинку культури с. Бежів</t>
  </si>
  <si>
    <t>на придбання кухонного інвентаря для Видиборського ліцею інформаційних технологій с. Видибор</t>
  </si>
  <si>
    <t>на придбання кухонного інвентаря для Стиртівської ЗОШ І-ІІ ст.</t>
  </si>
  <si>
    <t>на придбання кухонного інвентаря для Салівської ЗОШ І-ІІ ст.</t>
  </si>
  <si>
    <t>на придбання та встановлення спортивного майданчика для с. Жадьки</t>
  </si>
  <si>
    <t>на придбання та встановлення пластикових вікон для Будинку культури с. Жадьки</t>
  </si>
  <si>
    <t>на придбання дипломів, грамот та почесних грамот для методичного кабінету відділу освіти Черняхівської РДА</t>
  </si>
  <si>
    <t>на придбання кубків, медалей та м"ячів для методичного кабінету відділу освіти Черняхівської РДА</t>
  </si>
  <si>
    <t>на придбання морозильної камери для Трощанської ЗОШ І-ІІІ ст.</t>
  </si>
  <si>
    <t>на проведення ремонту покрівлі Будинку культури с. Тютюнники</t>
  </si>
  <si>
    <t>на придбання мотокоси для ДНЗ "Берізка" смт Вакуленчук</t>
  </si>
  <si>
    <t>на придбання одягу для сцени та ламбрекенів для будинку культури с. Вільшанка</t>
  </si>
  <si>
    <t>на проведення ремонтних робіт клубу с. Галіївка</t>
  </si>
  <si>
    <t>на придбання паливно-мастильних матеріалів для  АЗПСМ с. Краснопіль КНП "Чуднівський центр первинної медико-санітарної допомоги"</t>
  </si>
  <si>
    <t>на придбання парт для ЗОШ І-ІІ ст. с. Бабушки</t>
  </si>
  <si>
    <t>на придбання та заміну вікон і дверей для Стовпівської ЗОШ І-ІІ ст.</t>
  </si>
  <si>
    <t>на придбання спортивної форми та спорядження для Високівської  гімназії</t>
  </si>
  <si>
    <t>на придбання аварійно-відновлювального комплекту труб для водогінно-каналізаційної мережі для КП " Іршанське комунальне підприємство"</t>
  </si>
  <si>
    <t xml:space="preserve"> на придбання тонометрів та комп"ютера з принтером для Народицької ЦРЛ</t>
  </si>
  <si>
    <t>на придбання світильників для опорного закладу "Новоборівський ЗНЗ І-ІІІ ст. ліцей</t>
  </si>
  <si>
    <t>на придбання світильників для Новоборівської гімназії</t>
  </si>
  <si>
    <t>на придбання світильників для Кропивнянської ЗОШ І-ІІІ ст.</t>
  </si>
  <si>
    <t>на придбання світильників для Небізького НВК "ЗНЗ-ДНЗ" І-ІІ ст.</t>
  </si>
  <si>
    <t>на придбання світильників для Фасівського НВК "ЗНЗ-ДНЗ" І-ІІ ст.</t>
  </si>
  <si>
    <t>на придбання та встановлення інтернет обладнання для підключення вайфай зони та придбання цифрової фотокамери для молодіжного центру ХАБ Новоборівської селищної ради</t>
  </si>
  <si>
    <t>на придбання столів дитячих та стільців дорослих для Новоборівського ЦРД "Казка"</t>
  </si>
  <si>
    <t>на придбання обладнання, матеріалів та встановлення камер відеоспостереження для Новоборівської селищної ради</t>
  </si>
  <si>
    <t>на придбання мультимедійного проектора та швейної машинки для опорного закладу "Новоборівський ЗНЗ І-ІІІ ст.-ліцей"</t>
  </si>
  <si>
    <t>на придбання учнівських парт та стільців у кабінет інформаційних технологій для Новоборівської гімназії</t>
  </si>
  <si>
    <t>на придбання ритуального майданчика на кладовищі для с. Лисівка</t>
  </si>
  <si>
    <t>на придбання морозильної камери для дитячого дошкільного закладу "Веселка"</t>
  </si>
  <si>
    <t>на придбання матеріалів для проведення ремонту в Мохнацькій ЗОШ І-ІІ ст.</t>
  </si>
  <si>
    <t>на придбання водовідводів для ДДЗ "Веселка" Корнинської селищної ради</t>
  </si>
  <si>
    <t>на придбання трьох метало-пластикових склопакетів в адмінбудинку с. Лисівка Корнинської селищної ради</t>
  </si>
  <si>
    <t>на придбання концертнизх костюмів для Баранівської школи мистецтв</t>
  </si>
  <si>
    <t>на поточний ремонт дорожнього покриття по вулицях Соборній, Пашкевича</t>
  </si>
  <si>
    <t>на придбання світлового обладнання для Будинку культури с. Марківка</t>
  </si>
  <si>
    <t>на придбання "Сумок-укладок" сестри медичної для КНП "Центр ПМСД" Баранівської міської ради</t>
  </si>
  <si>
    <t>на придбання та доставку суміші для підсипки комунальних доріг Баранівської ОТГ</t>
  </si>
  <si>
    <t>на ремонт у закладі для Коростишівського ДНЗ ясла-садок № 7 "Сонечко"</t>
  </si>
  <si>
    <t>на придбання велосипедів для Коростишівської міської станції юних техніків</t>
  </si>
  <si>
    <t xml:space="preserve">на придбання комплекту засобів для відеоспостереження та дошки в математичний кабінет для Коростишівської ЗОШ № 1 І-ІІІ ст. </t>
  </si>
  <si>
    <t>на придбання меблів для Кам"янської ЗОШ І-ІІІ ст.</t>
  </si>
  <si>
    <t>на придбання БФП та ПК для КП "ОлевськРесурсІнвест" Олевської міської ради</t>
  </si>
  <si>
    <t>на придбання плазмового телевізора для Сущанської ЗОШ І-ІІ ст.</t>
  </si>
  <si>
    <t>на придбання БФП (принтер) для Копищенської ЗОШ І-ІІІ ст.</t>
  </si>
  <si>
    <t>на придбання холодильника та матеріалів для обладнання парадного входу до школи та виготовлення вхідних хвірток (2шт.) для Новоозерянського НВК</t>
  </si>
  <si>
    <t>на придбання учнівських стільців для Копищенської ЗОШ І-ІІІ ст.</t>
  </si>
  <si>
    <t>на завершення капітального ремонту даху відділення поліклініки для КУ ОЦЛ</t>
  </si>
  <si>
    <t>на придбання меблів (20000), дитячих іграшок (10000) та на проведення поточного ремонту (20000) для ДНЗ с. Перга</t>
  </si>
  <si>
    <t>на придбання ігрових споруд для дитячого майданчика на Херсонському масиві в смт Брусилів</t>
  </si>
  <si>
    <t>на придбання ігрових споруд для розміщення дитячого ігрового майданчика на Херсонському масиві смт Брусилів</t>
  </si>
  <si>
    <t>на закупівлю двох комплектів форми для двох вікових груп футбольної секції Довбиської ДЮСШ</t>
  </si>
  <si>
    <t>на проведення робіт з благоустрою населених пунктів Лугинської селищної ради</t>
  </si>
  <si>
    <t>на придбання сценічних костюмів для клубу с. Жеревці</t>
  </si>
  <si>
    <t>на придбання шиферу для ремонту покрівлі Будинку культури с. Червона Волока</t>
  </si>
  <si>
    <t>на придбання підлогового покриття та устаткування для кабінету обслуговуючої праці (комбінованої майстерні для дівчат) Лугинська гімназія ім В.П. Фількова</t>
  </si>
  <si>
    <t xml:space="preserve">на проведення ремонту пічного опалення приміщення ЗОШ І-ІІ ст. с. Степанівка </t>
  </si>
  <si>
    <t xml:space="preserve">на поточний ремонт водонапірної башти Рожновського та водомережі у с. Колодяжне по вул. Монастирській </t>
  </si>
  <si>
    <t>на придбання телевізорів у хол центр для проведення санітарно-освітньої роботи пацієнтів для КНП"Попільнянський центр ПМСД"</t>
  </si>
  <si>
    <t>на придбання велосипедів для медичних та соціальних працівників для КУ "Центр соціальних послуг Попільнянської селищної ради"</t>
  </si>
  <si>
    <t>на придбання мультимедійного проектора та фліпчарта для Попільнянської центральної бібліотеки</t>
  </si>
  <si>
    <t>на придбання магнітної дошки, меблів та музичного обладнання для Саверецької ЗОШ І-ІІІ ст.</t>
  </si>
  <si>
    <t>на придбання медичної техніки для КНП "Попільнянський ЦПМСД"</t>
  </si>
  <si>
    <t>на придбання магнітно-маркерної дошки та БФП для Попільнянської гімназії № 1</t>
  </si>
  <si>
    <t xml:space="preserve">на придбання технічного засобу (телевізора) у 1-Б клас Попільнянської гімназії №1 Попільнянської селищної ради </t>
  </si>
  <si>
    <t xml:space="preserve">на придбання матеріалів для поточного ремонту Миролюбівського ДНЗ "Сонечко" Попільнянської селищної ради </t>
  </si>
  <si>
    <t xml:space="preserve">на придбання вікон для Новоселицької ЗОШ І-ІІ ст. Попільнянської селищної ради </t>
  </si>
  <si>
    <t xml:space="preserve">на придбання дитячого ігрового комплексу в с. Строків Попільнянської селищної ради </t>
  </si>
  <si>
    <t>на поточний ремонт шкільних автобусів для підвозу учнів Краївщинський НВК "ЗНЗ І-ІІІ ст. -ДНЗ", Зубринської ЗОШ І-ІІІ ст. відділу освіти Хорошівської селищної ради</t>
  </si>
  <si>
    <t>на поточний ремонт автобуса Хорошівської гімназії Хорошівської селищної ради</t>
  </si>
  <si>
    <t>на придбання акустичної системи та світлового освітлення для Грушківського будинку культури Хорошівської селищної ради</t>
  </si>
  <si>
    <t>на поточний ремонт класної кімнати 7-А класу Хорошівського НВК "ДНЗ-ЗНЗ І-ІІІ ст." №1 Хорошівської селищної ради</t>
  </si>
  <si>
    <t>на придбання пилососа для Дворищенського ЗДО Хорошівської селищної ради</t>
  </si>
  <si>
    <t>на ремонт приміщення Хорошівського народного музею-філіалу історії району Хорошівської селищної ради</t>
  </si>
  <si>
    <t>на придбання концертних костюмів для Знам"янського клубу Хорошівської селищної ради</t>
  </si>
  <si>
    <t>на придбання ігрового майданчика, качелі, автозапчастин та мастил, стендів, мікрохвильової печі та господарських товарів для Чоповицького ЗНВК "Гімназія-ЗНЗ І-ІІІ ступенів-ДНЗ"</t>
  </si>
  <si>
    <t>на проведення поточного ремонту приміщень під кабінети фізики, біології та географії для Чоповицького ЗНВК "Гімназія-ЗНЗ І-ІІІ ступенів-ДНЗ"</t>
  </si>
  <si>
    <t>на придбання будівельних матеріалів для ремонту та завіси для сцени Барвінківського будинку культури</t>
  </si>
  <si>
    <t>на придбання 3 металопластикових віконних блоків та 1 металопластикових дверей для Чоповицького селищного будинку культури</t>
  </si>
  <si>
    <t>на придбання радіомікрофонів та жалюзі для Йосипівського НВК-ЗНЗ І-ІІ ст." с. Йосипівка</t>
  </si>
  <si>
    <t>на придбання плазмового телевізора (8000) та ноутбука (9000) для учнів початкових класів Василівської ЗОШ І-ІІ ст. ім. М.М. Глови</t>
  </si>
  <si>
    <t>на закупівлю тренажерів (велотренажер, орбітрек, лавка для пресу) для будинку культури с. Харліївка Андрушківської сільської ради</t>
  </si>
  <si>
    <t>на придбання м'якого інвентарю та постільної білизни (11500),бензопили (2500) для Барашівського дитячого садочку "Сонечко"</t>
  </si>
  <si>
    <t>на придбання музичного центру для Березівського сільського клубу Березівського старостинського округу</t>
  </si>
  <si>
    <t>на придбання світильників для Неділищанської ЗОШ І-ІІ ст</t>
  </si>
  <si>
    <t>для участі у міжнародному фолькльорному конкурсі народного ансамблю "Журавка" Барашівського БК</t>
  </si>
  <si>
    <t>на придбання керамічної плитки та клею Барашівській ЗОШ І-ІІ ст</t>
  </si>
  <si>
    <t>на придбання ноутбука та принтера для Новобілокоровицької ЗОШ І-ІІІ ст. № 2</t>
  </si>
  <si>
    <t>на придбання бензокоси та пилососу для Білокоровицького ДНЗ № 1 "Ромашка"</t>
  </si>
  <si>
    <t>на придбання відеокамери для Бучманівської ЗОШ І-ІІ ст.</t>
  </si>
  <si>
    <t>на поточний ремонт Новобілокоровицької ЗОШ І-ІІІ ст. № 3</t>
  </si>
  <si>
    <t>на придбання проектора, ноутбука, екрана для проектора, швейної машинки для трудового навчання для Новобілокоровицької ЗОШ І-ІІІ ст. №3</t>
  </si>
  <si>
    <t>на придбання спортивного майданчика для Новопільської ЗОШ І-ІІІ ст.</t>
  </si>
  <si>
    <t>на виготовлення та встановлення пам"ятника померлому Доманському Я.Ю. с. Горщик</t>
  </si>
  <si>
    <t>на придбання металопластикових вікон (14000,00 грн.) та на придбання твердопаливного котла (40000,00 грн.) для створення Давидівського навчально-виховного комплексу</t>
  </si>
  <si>
    <t>на придбання ноутбука для бухгалтерії Горщиківської сільської ради</t>
  </si>
  <si>
    <t>на придбання посуду в шкільну їдальню для Вигівської філії Горщиківського ліцею</t>
  </si>
  <si>
    <t>на виготовлення проектно-кошторисної документації системи опалення, виконання робіт з установки твердопаливного котла та матеріалів для Горщиківської сільської ради</t>
  </si>
  <si>
    <t xml:space="preserve">на придбання трьох ноутбуків для Горщиківського ліцею </t>
  </si>
  <si>
    <t>на придбання меблів для кабінету початкового навчання для Романівської ЗОШ І-ІІІ ст. ім. М.Т. Рильського</t>
  </si>
  <si>
    <t>на придбання альтанки на дитячий майданчик для ДНЗ с. Молочки</t>
  </si>
  <si>
    <t>на придбання мотокоси, електром"ясорубки та електросковороди для ЗОШ І-ІІІ ст. с. Краснопіль</t>
  </si>
  <si>
    <t xml:space="preserve">на придбання спортивного інвентарю для футбольної команди ОТГ "Краснопіль" </t>
  </si>
  <si>
    <t xml:space="preserve">на придбання жалюзі на вікна для Красівської ЗОШ І-ІІІ ст. ім. Ц.Л. Посудевського </t>
  </si>
  <si>
    <t xml:space="preserve">на придбання меблів у клас англійської мови Пісківської ЗОШ І-ІІІ ст. </t>
  </si>
  <si>
    <t>на встановлення вікон для 1 класу Андрієвицької ЗОШ І-ІІІ ст</t>
  </si>
  <si>
    <t xml:space="preserve">на придбання більярдного столу для Великоглумчанського сільського клубу </t>
  </si>
  <si>
    <t>на придбання більярдних столів в заклади культури сіл Куліші, Хутір-Мокляки, Нараївка</t>
  </si>
  <si>
    <t>на придбання ноутбука для Любарського центру утнівської творчості</t>
  </si>
  <si>
    <t>на придбання огорожі для Березівського ЗДО "Веселка"</t>
  </si>
  <si>
    <t>на придбання матеріалів для проведення ремонту в методичному кабінеті Малобраталівської ЗОШ І-ІІ ст.</t>
  </si>
  <si>
    <t>на придбання металопластикових вікон для Привітівської ЗОШ І-ІІІ ст.</t>
  </si>
  <si>
    <t xml:space="preserve">на придбання спортивного інвентаря (гімнастичних матів) для Любарської № 2 ЗОШ І-ІІІ ст. </t>
  </si>
  <si>
    <t>на придбання покриття для підлоги для КЗ "Любарська ДЮСШ Любарської селищної ради Житомирської області"</t>
  </si>
  <si>
    <t>на придбання спортивного інвентарю для КЗ "Любарська ДЮСШ Любарської селищної ради Житомирської області"</t>
  </si>
  <si>
    <t>на придбання телевізора для 3-б класу Любарської гімназії №1 Любарського району</t>
  </si>
  <si>
    <t>На придбання предметів і матеріалів для утеплення фасаду для Словечанського ДНЗ, с.Словечно</t>
  </si>
  <si>
    <t>на придбання предметів і матеріалів для огородження сміттєзвалища в с.Словечно</t>
  </si>
  <si>
    <t>на придбання сміттєвих баків для с.Словечно</t>
  </si>
  <si>
    <t>на придбання сміттєвих баків для с.Листвин</t>
  </si>
  <si>
    <t>на придбання сміттєвих баків для с.Можари</t>
  </si>
  <si>
    <t>на придбання сміттєвих баків для с.Черевки</t>
  </si>
  <si>
    <t>на придбання предметів і матеріалів для обгородження території кладовища в с.Словечно</t>
  </si>
  <si>
    <t>на придбання предметів і матеріалів для обгородження території кладовища в с.Можари</t>
  </si>
  <si>
    <t>на придбання предметів і матеріалів для обгородження території кладовища в с.Городець</t>
  </si>
  <si>
    <t xml:space="preserve">на капітальний ремонт водопровідних мереж та споруд у с. Новини </t>
  </si>
  <si>
    <t>на придбання активної акустичної системи для потреб Великолугівського СБК</t>
  </si>
  <si>
    <t>на придбання комплекту акустичної системи для Новозаводського будинку культури</t>
  </si>
  <si>
    <t>на придбання електроплити в дитячий садок "Капітошка" с. Теньківка</t>
  </si>
  <si>
    <t xml:space="preserve">на проведення поточного ремонту першого поверху Кошелівської ЗОШ І-ІІІ ст. </t>
  </si>
  <si>
    <t>на придбання інтерактивної дошки та ноутбука у кабінет історії та шкільний музей для опорного закладу загальної середньої освіти Пулинської ЗОШ І-ІІІ ст.</t>
  </si>
  <si>
    <t>на придбання комп"ютера для відділу освіти Пулинської селищної ради</t>
  </si>
  <si>
    <t>на придбання меблів для художнього відділу КПСМНЗ "Пулинської школи мистецтв"</t>
  </si>
  <si>
    <t>на придбання музичних інструментів та обладнання для  КПСМНЗ "Пулинської школи мистецтв"</t>
  </si>
  <si>
    <t>на проведення робіт по вуличному освітленню вулиць Садова, Лесі Українки, Довженка, Богдана Хмельницького, Бориса Тена, М. Рильського та Польової в смт Пулини</t>
  </si>
  <si>
    <t>на придбання ноутбука для Чернявської філії опорного закладу загальної середньої освіти Пулинської ЗОШ І-ІІІ ст.</t>
  </si>
  <si>
    <t>на придбання дитячих стільців (6000,00 грн.) та дитячих матраців (4000,00 грн.) для ДНЗ № 7 "Дзвіночок"</t>
  </si>
  <si>
    <t>на проведення поточного ремонту вулиці Шевченка та провулку Борщагівський в м. Радомишль</t>
  </si>
  <si>
    <t>на придбання твердопаливних котлів для сільських Будинків культури</t>
  </si>
  <si>
    <t>на проведення поточного ремонту приміщення харчоблоку та ігрового майданчика для КЗ "Краснобірський ЗДО "Золотий ключик" Радомишської міської ради</t>
  </si>
  <si>
    <t>на придбання сценічних космтюмів для народного колективу "Водограй" клубу с. Краснобірка</t>
  </si>
  <si>
    <t xml:space="preserve">на придбання меблів дщля будинку культури с. Глибочиця </t>
  </si>
  <si>
    <t>на придбання мікшерного пульта та мікрофонних стійок для будинку культури с. Березина</t>
  </si>
  <si>
    <t>на придбання дитячих меблів, тканевих ролетів на вікна, килимового покриття, м"яких пуфів, іграшок, дидактичного матеріалу для Гадзинського ДНЗ "Сонечко"</t>
  </si>
  <si>
    <t>на придбання 23-х одномісних парт і стільців та 2-х книжних шаф для учнів 1 класу для Печанівської ЗОШ І-ІІІ ст. Романівського району</t>
  </si>
  <si>
    <t>на придбання музичної апаратури для сільських клубів с. Острів та с. Слобода-Шоломківська та СБК с. Фосня, с. Раківщина</t>
  </si>
  <si>
    <t>на придбання броньованих дверей, сигналізації, облаштування "Поліської світлиці" музею історії Овруччини</t>
  </si>
  <si>
    <t>на придбання кольорового принтера МФО для Кирданівського ЗДО</t>
  </si>
  <si>
    <t>на виготовлення проектної (або іншої) документації "Капітальний ромонт будівель (енергоефективна термосанація) з улаштуванням благоустрою Овруцької ЦРЛ"</t>
  </si>
  <si>
    <t>на придбання офсетного паперу для оргтехніки для Овруцької районної бібліотеки для  дітей Житомирської області</t>
  </si>
  <si>
    <t>на придбання меблів та медичного обладнання для кабінету дитячого ендокринного Овруцької ЦРЛ</t>
  </si>
  <si>
    <t>на придбання меблів (столів комп"ютерних, стільців) в кабінет №4  дитячої консультації Овруцької ЦРЛ</t>
  </si>
  <si>
    <t>на придбання меблів та на проведення поточного ремонту (заміна вікон)  в структурних підрозділах  КНП "Овруцький центр первинної медико-санітарної допомоги"</t>
  </si>
  <si>
    <t>на придбання обладнання  та кондиціонерів для діагностичного відділення АЗПМС №1 КНП "Овруцький центр первинної медико-санітарної допомоги"</t>
  </si>
  <si>
    <t>на придбання медичного обладнання для фізкабінету Овруцької ЦРЛ</t>
  </si>
  <si>
    <t>на придбання дитячих одіял та матеріалів для ремонту для Кирданівського ЗДО</t>
  </si>
  <si>
    <t>на виготовлення проектно-кошторисної документації по утепленю зовнішніх стін корпусів школи для Овруцького ЗЗСО І-ІІІ ст. №3</t>
  </si>
  <si>
    <t>на придбання читиримісних наметів, надувних матраців, спальних мішків (зимових) для "НВК"Овруцька гімназія ім. А. Малишка-ЗОШ Іст."</t>
  </si>
  <si>
    <t>на придбання шкільних парт та стільців для кабінету української мови та літератури для Кирданівської ЗОШ І-ІІІ ст.</t>
  </si>
  <si>
    <t>на заміну трьох віконних блоків на металопластикові в ігровій кімнаті для Піщаницького ДНЗ</t>
  </si>
  <si>
    <t>на заміну чотирьох віконних блоків на металопластикові вікна в клубі с. Заськи для Черепинського старостинського округу</t>
  </si>
  <si>
    <t>на заміну 5 віконних блоків  та вхідних дверей в бібліотеці с. Черепин для Черепинського старостинського округу</t>
  </si>
  <si>
    <t>на виготовлення проектної або іншої) документації "Капітальний ромонт будівель (енергоефективна термосанація) з улаштуванням благоустрою Овруцької ЦРЛ"</t>
  </si>
  <si>
    <t>на закупівлю господарських товарів та придбання медичного обладнання для покращення матеріально-технічної бази для ФАП с. Листвин</t>
  </si>
  <si>
    <t>на придбання вікон та дверей для ФАП с. Тхорин</t>
  </si>
  <si>
    <t>на придбання фарби, цементу та лінолеуму для ФАП с. Кирдани</t>
  </si>
  <si>
    <t>на придбання ігрового обладнання для дитячого майданчика с. Хлупляни</t>
  </si>
  <si>
    <t>0819240</t>
  </si>
  <si>
    <t>Субвенції з місцевих бюджетів іншим місцевим бюджетам на виплату грошової компенсації за належні для отримання жилі приміщення для окремих категорій населення за рахунок відповідних субвенцій з державного бюджету</t>
  </si>
  <si>
    <t>0819242</t>
  </si>
  <si>
    <t>9242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</si>
  <si>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та визнані особами з інвалідністю внаслідок війни ІІІ групи відповідно до пунктів 11-14 частини другої статті 7 або учасниками бойових дій відповідно до пунктів 19-20 частини першої статті 6 Закону України «Про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</si>
  <si>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осіб з інвалідністю І-ІІ групи з числа учасників бойових дій на території інших держав, які стали інвалідами внаслідок поранення, контузії, каліцтва або захворювання, пов’язаних з перебуванням у цих державах, визначених пунктом 7 частини другої статті 7 Закону України «Про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</si>
  <si>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 xml:space="preserve">Субвенція з місцевого бюджету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
 за рахунок відповідної субвенції з державного бюджету
</t>
  </si>
  <si>
    <t xml:space="preserve"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та визнані особами з інвалідністю внаслідок війни ІІІ групи відповідно до пунктів 11-14 частини другої статті 7 або учасниками бойових дій відповідно до пунктів 19-20 частини першої статті 6 Закону України «Про статус ветеранів війни, гарантії їх соціального захисту", та які потребують поліпшення житлових умов </t>
  </si>
  <si>
    <t>на реконструкцію джерела та облаштування території біля джерела та придбання матеріалів на території с. Ковалі</t>
  </si>
  <si>
    <t>на придбання електрокардіографа для КНП "Білокоровицька АЗПСМ" Білокоровицької сільської ради</t>
  </si>
  <si>
    <t>на придбання ноутбуків для Андріївської ЗОШ І-ІІІ ст. Черняхівського району</t>
  </si>
  <si>
    <t>на капітальний ремонт (ефективна термосанація) житлового будинку за адресою: м. Олевськ, вул. Княгині Ольги, 22, "ОСББ Княже-22"</t>
  </si>
  <si>
    <t>на оплату за виготовлену проектно-кошторисну документацію"Капітальний ремонт: заміна тепломережі Головинській гімназії по вул. Адміністративній, 5 в смт Головине Черняхівського району Житомирської області"</t>
  </si>
  <si>
    <t>на придбання копіювальної техніки (принтер, сканер, ксерокс) для  Кам"янобрідської амбулаторії загальної практики сімейної медицини</t>
  </si>
  <si>
    <t>на поточний ремонт покрівлі коридору та спортзалу для Кропивнянської ЗОШ І-ІІІ ст.</t>
  </si>
  <si>
    <t>Ремонтно-реставраційні роботи по будівлі Магістрату КЗ "Житомирський обласний краєзнавчий музей" за адресою: вул. Кафедральна, 3 в м.Житомирі</t>
  </si>
  <si>
    <t>Технічне переоснащення котельні КП "Житомирський обласний лікувально-санаторний центр радіаційного захисту для дитячого та дорослого населення "Дениші" Житомирської обласної ради за адресою: вул.Набережна,1,  с.Дениші , Житомирського району, Житомирської області</t>
  </si>
  <si>
    <t>на придбання металопластикових вікон  34 Державному пожежно-рятувальному посту (смт Іванопіль) Чуднівського районного сектору Управління ДСНС України у Житомирській області</t>
  </si>
  <si>
    <t>на придбання бойового одягу для особового складу  27 Державної пожежно-рятувальної частини смт Пулини Управління ДСНС України у Житомирській області</t>
  </si>
  <si>
    <t>на закупівлю відвалу з гідравлічними циліндрами до трактору спеціального призначення для в/ч 1495 відділу прикордонної служби "Овруч" Житомирського прикордонного загону Державної  прикордонної служби України</t>
  </si>
  <si>
    <t>на придбання жалюзі, ламп освітлення, меблів, дверних блоків, енергозберігаючих металопластикових вікон, реагентів та реактивів  для навчально-наукових лабораторій і кабінетів факультету ветеринарної медицини для Житомирського національного агроекологічного університету</t>
  </si>
  <si>
    <t>на придбання та встановлення кондиціонерів  для Департаменту фінансів Житомирської облдержадміністрації</t>
  </si>
  <si>
    <t>на придбання вікон, дверей, придбання будівельних матеріалів для 28 Державної пожено-рятувальної частини в смт Іршанськ Управління ДСНС України у Житомирській області</t>
  </si>
  <si>
    <t>на придбання 9-ти вікон та 3-х дверних полотен для 26 Державної пожежно-рятувальної частини(смт Романів) Романівського районного сектору Управління Державної служби України у Житомирській області</t>
  </si>
  <si>
    <t>на придбання споривного інвентаря для Житомирського технологічного коледжу КНУБА</t>
  </si>
  <si>
    <t>на  придбання боксів для зберігання форменого одягу, спецзасобів виданих на постійне носіння та особистих речей патрульних поліцейських для Управління патрульної поліції в Житомирській області ДПП</t>
  </si>
  <si>
    <t>на придбання принтера для Служби у справах дітей Брусилівської РДА</t>
  </si>
  <si>
    <t>на придбання принтера (МФУ) для Брусилівської РДА</t>
  </si>
  <si>
    <t>на придбання принтера для Служби у справах дітей Овруцької РДА</t>
  </si>
  <si>
    <t>на облаштування вузла обліку газу засобами дистаційної передачі даних Овруцькій РДА для УПСЗН Овруцької РДА</t>
  </si>
  <si>
    <t>на придбання форменого одягу особовому складу 8 Державної пожежно-рятувальної частини м.Коростень Коростенському міськрайонному відділу Управління ДСНС України у Житомирській області</t>
  </si>
  <si>
    <t>на придбання чотирьох автомобільних шин для пожежного автомобіля АЦ-40(130)63б для 25 Державної пожежно-рятувальної частини (смт Попільня)  УДСНС України у Житомирській області</t>
  </si>
  <si>
    <t>на придбання комп"ютерної бухгалтерської програми ІС-Про для Управління культури та туризму Житомирської ОДА</t>
  </si>
  <si>
    <t>на пошив зразків українських військових історичних одностроїв та придбання предметів спорядження до них для Житомирського військового інституту ім. С.П. Корольова</t>
  </si>
  <si>
    <t>на поточний ремонт холу та вхідної групи в гуртожитку № 1 для Житомирського національного агроекологічного університету</t>
  </si>
  <si>
    <t>на придбання матеріалів для проведення ремонтних робіт в приміщеннях підрозділу Ружинського районного сектору Управління ДСНС України у Житомирській області</t>
  </si>
  <si>
    <t>Технічне переоснащення внутрішніх інженерних мереж будівлі Житомирської ОШВСМ за адресою: Житомирський район, с.Березина, вул.Лісова, 4</t>
  </si>
  <si>
    <t>Виготовлення ПКД на термосанацію будівлі Житомирської ОШВСМ за адресою: Житомирський район, с.Березина, вул.Лісова, 4</t>
  </si>
  <si>
    <t>на інші поточні та капітальні видатки</t>
  </si>
  <si>
    <t>на придбання спецтехніки для управління захисту економіки в Житомирській області</t>
  </si>
  <si>
    <t>на технічне обслуговування автомобілів для управління патрульної поліції в області</t>
  </si>
  <si>
    <t>на придбання будматеріалів, засобів відеоспостереження, зв"язку, оргтехніки, запчастин для автомобіля та ПММ для Житомирського прикордонного загону</t>
  </si>
  <si>
    <t>на переоснащення технічних засобів охорони ДУ "Райківська виправна колонія №73"</t>
  </si>
  <si>
    <t>на реконструкцію міждержавного автомобільного пункту пропуску "Майдан Копищанський"</t>
  </si>
  <si>
    <t>на ремонт приміщень спортивного комплексу Житомирського національного агроекологічного університету</t>
  </si>
  <si>
    <t>на облаштування сучасного освітнього простору у навчальному корпусі Житомирського державного технологічного університету (400,0) та покращення матеріально-технічної бази університету (100,0)</t>
  </si>
  <si>
    <t>на ремонт приміщень спортивного комплексу Житомирського військового інституту ім.С.П.Корольова</t>
  </si>
  <si>
    <t>на  заміну вікон в приміщенні Малинської райдержадміністрації</t>
  </si>
  <si>
    <t xml:space="preserve"> С.М. Крамаренко</t>
  </si>
  <si>
    <t>на капітальний ремонт вхідної групи приміщень для КУ Романівської районної ради "Опорний навчальний заклад "Романівська гімназія"</t>
  </si>
  <si>
    <t>на придбання будівельних матеріалів (6000) та бензопили (2000) для Симонівського старостинського округу</t>
  </si>
  <si>
    <t>на придбання ноутбуків для компютерного класу Кошелівської ЗОШ І-ІІІ ст.</t>
  </si>
  <si>
    <t>на придбання бензокоси та бензопилки для КНП "Центр первинної медико-санітарної допомоги" Житомирської районної ради</t>
  </si>
  <si>
    <t>Виготовлення ПКД та капітальних ремонт Чоповицького ЗНВК "Гімназія - загальноосвітній навчальний заклад І-ІІІ ступенів - дошкільний навчальний заклад"</t>
  </si>
  <si>
    <t>Капремонт вуличного освітлення пров. Хліборобського села Березівка Житомирського району</t>
  </si>
  <si>
    <t>на придбання багатофункціонального пристрою для ОСББ "Сузір"я-10" м. Житомир</t>
  </si>
  <si>
    <t>на придбання багатофункціонального пристрою для "ОСББ на Бориса Тена 90/1, 92" м. Житомир</t>
  </si>
  <si>
    <t>на придбання багатофункціонального пристрою для ОСББ "Комфорт-Полісся" м. Житомир</t>
  </si>
  <si>
    <t>на придбання багатофункціонального пристрою для ОСББ "Сікорського 4" м. Житомир</t>
  </si>
  <si>
    <t>на придбання багатофункціонального пристрою для ОСББ "Вільний шлях 14" м. Житомир</t>
  </si>
  <si>
    <t>на придбання багатофункціонального пристрою для ОСББ "Домбровського 26" м. Житомир</t>
  </si>
  <si>
    <t>на придбання багатофункціонального пристрою  для ОСББ "Надія 13" м. Житомир</t>
  </si>
  <si>
    <t>на придбання багатофункціонального пристрою  для ОСББ "Лісове-74" м. Житомир</t>
  </si>
  <si>
    <t>на придбання багатофункціонального пристрою  для ОСББ "Надія-135" м. Житомир</t>
  </si>
  <si>
    <t>на придбання багатофункціонального пристрою для ОСББ "Оселя" м. Житомир</t>
  </si>
  <si>
    <t>на придбання багатофункціонального пристрою  для ОСББ "Леха Качинського, 14" м. Житомир</t>
  </si>
  <si>
    <t>на придбання багатофункціонального пристрою для ОСББ "Вітрука 33" м. Житомир</t>
  </si>
  <si>
    <t>на придбання багатофункціонального пристрою для ОСББ "Івана Сльоти 64" м. Житомир</t>
  </si>
  <si>
    <t>на придбання багатофункціонального пристрою для ОСББ "Автоном-69" м. Житомир</t>
  </si>
  <si>
    <t>на придбання багатофункціонального пристрою для ОСББ "Лисенко-6" м. Житомир</t>
  </si>
  <si>
    <t>на придбання багатофункціонального пристрою для ОСББ "Майдан Перемоги 7" м. Житомир</t>
  </si>
  <si>
    <t>на придбання багатофункціонального пристрою для ОСББ "Затишок 44" м. Житомир</t>
  </si>
  <si>
    <t>на придбання багатофункціонального пристрою для ОСББ "Селецька-21" м. Житомир</t>
  </si>
  <si>
    <t>на придбання багатофункціонального пристрою для ОСББ "Чуднівська 108-Б" м. Житомир</t>
  </si>
  <si>
    <t>на придбання багатофункціонального пристрою для ОСББ "Грушевського 71" м. Житомир</t>
  </si>
  <si>
    <t>на придбання багатофункціонального пристрою для ОСББ "Майдан Перемоги 9" м. Житомир</t>
  </si>
  <si>
    <t>на придбання багатофункціонального пристрою для ОСББ "Виставка-4" м. Житомир</t>
  </si>
  <si>
    <t>на придбання багатофункціонального пристрою для ОСББ "Любарська,4" м. Житомир</t>
  </si>
  <si>
    <t>на придбання багатофункціонального пристрою для ОСББ "Польський Бульвар 18" м. Житомир</t>
  </si>
  <si>
    <t>на придбання багатофункціонального пристрою для ОСББ "Перемоги 3" м. Житомир</t>
  </si>
  <si>
    <t>на придбання багатофункціонального пристрою для ОСББ "Шевченка 12Б" м. Житомир</t>
  </si>
  <si>
    <t>на придбання багатофункціонального пристрою для ОСББ "Небесної сотні 54" м. Житомир</t>
  </si>
  <si>
    <t>на придбання багатофункціонального пристрою для ОСББ "Майдан Польовий, 11" м. Житомир</t>
  </si>
  <si>
    <t>на придбання багатофункціонального пристрою для ОСББ "Фортуна-136" м. Житомир</t>
  </si>
  <si>
    <t>на придбання багатофункціонального пристрою для ОСББ "Космонавт 18" м. Житомир</t>
  </si>
  <si>
    <t>на придбання багатофункціонального пристрою для ОСББ "Покровське 94" м. Житомир</t>
  </si>
  <si>
    <t>на придбання багатофункціонального пристрою для ОСББ "Грушевського 6" м. Житомир</t>
  </si>
  <si>
    <t>на придбання багатофункціонального пристрою для ОСББ "Шевченкове" м. Житомир</t>
  </si>
  <si>
    <t>на придбання багатофункціонального пристрою для ОСББ "Житичи" м. Житомир</t>
  </si>
  <si>
    <t>на придбання багатофункціонального пристрою для ОСББ "Веселка-66" м. Житомир</t>
  </si>
  <si>
    <t>на придбання багатофункціонального пристрою для ОСББ "Обрій 21" м. Житомир</t>
  </si>
  <si>
    <t>на придбання багатофункціонального пристрою для ОСББ "Преміум Парк 14/6" м. Житомир</t>
  </si>
  <si>
    <t>на придбання багатофункціонального пристрою для ОСББ "Капучіно" м. Житомир</t>
  </si>
  <si>
    <t>на придбання багатофункціонального пристрою для ОСББ "Добробут НС-3" м. Житомир</t>
  </si>
  <si>
    <t>на придбання багатофункціонального пристрою для ОСББ "Техносервіс" м. Житомир</t>
  </si>
  <si>
    <t>на придбання багатофункціонального пристрою для ОСББ "Фенікс-54" м. Житомир</t>
  </si>
  <si>
    <t>на придбання багатофункціонального пристрою для ОСББ "Мирний-21" м. Житомир</t>
  </si>
  <si>
    <t>на придбання багатофункціонального пристрою для ОСББ "Соборний квартал" м. Житомир</t>
  </si>
  <si>
    <t>на придбання багатофункціонального пристрою для ОСББ "Проспект Миру 12" м. Житомир</t>
  </si>
  <si>
    <t>на придбання багатофункціонального пристрою для ОСББ "Квартал-56" м. Житомир</t>
  </si>
  <si>
    <t>на придбання багатофункціонального пристрою для ОСББ "Провулок 9-й Максютова 5" м. Житомир</t>
  </si>
  <si>
    <t>на придбання предметів, матеріалів, обладнання для проведення поточного ремонту Черепинської філії опорного закладу освіти "Овруцький ЗЗСО І-ІІІ ст.№1"</t>
  </si>
  <si>
    <t>на забезпечення оплати харчування, придбання лікарських засобів, виробів медичного призначення, спортивного інвентаря та футбольних м"ячів для футбольної команди с. Новаки</t>
  </si>
  <si>
    <t>на придбання БФП для ОСББ "Затишок - 79" м. Житомир</t>
  </si>
  <si>
    <t>на придбання БФП  для ОСББ "Рильського 3" м. Житомир</t>
  </si>
  <si>
    <t>на придбання БФП для ОСББ "Оберіг - 60" м. Житомир</t>
  </si>
  <si>
    <t>на придбання БФП для ОСББ "Фонтан - 10" м. Житомир</t>
  </si>
  <si>
    <t>на придбання БФП для ОСББ "Шевченка 12А" м. Житомир</t>
  </si>
  <si>
    <t>на придбання БФП для ОСББ "Короленко 4А" м. Житомир</t>
  </si>
  <si>
    <t>на придбання БФП для ОСББ "Старий бульвар 2/26" м. Житомир</t>
  </si>
  <si>
    <t>на придбання БФП  для ОСББ "Мала Бердичівська 4" м. Житомир</t>
  </si>
  <si>
    <t>на придбання БФП  для ОСББ "Космонавтів 16/9" м. Житомир</t>
  </si>
  <si>
    <t>на придбання БФП для ОСББ "Бузок-9" м. Житомир</t>
  </si>
  <si>
    <t>на придбання БФП для ОСББ "Богуна,5" м. Житомир</t>
  </si>
  <si>
    <t>на придбання БФП для ОСББ "Перемога-19" м. Житомир</t>
  </si>
  <si>
    <t>на придбання БФП для ОСББ "НЕО-СІТІ" м. Житомир</t>
  </si>
  <si>
    <t>на придбання БФП  для ОСББ "Княже 131" м. Житомир</t>
  </si>
  <si>
    <t>на придбання БФП  для ОСББ "Калина 41" м. Житомир</t>
  </si>
  <si>
    <t>на придбання БФП для ОСББ "Трикотажник" м. Житомир</t>
  </si>
  <si>
    <t>на придбання БФП  для ОСББ "М 16" м. Житомир</t>
  </si>
  <si>
    <t>на придбання БФП  для ОСББ "Травневе - 17" м. Житомир</t>
  </si>
  <si>
    <t>на придбання БФП для ОСББ "Теплий стан" м. Житомир</t>
  </si>
  <si>
    <t>на придбання БФП для ОСББ "На Гоголівській 94-96" м. Житомир</t>
  </si>
  <si>
    <t>на придбання бензину для Краснопільського стаціонарного відділення для одиноких пристарілих громадян Чуднівського територіального центру соціального обслуговування (надання соціальних послуг)</t>
  </si>
  <si>
    <t>Ремонт приміщення Стовпівської ЗОШ І-ІІ ст.(заміна вікон та дверей)</t>
  </si>
  <si>
    <t>Придбання комп"ютерного комплексу з програмним забезпеченням для Ємільчинської гімназії</t>
  </si>
  <si>
    <t>Технічне переоснащення внутрішніх інженерних мереж будівлі Житомирської обласної школи вищої спортивної майстерності за адресою: Житомирський район, с.Березина, вул. Лісова, 4</t>
  </si>
  <si>
    <t>сесія 12.09.2018</t>
  </si>
  <si>
    <t>на терапевтичне відділення радіаційного захисту населення обласної клінічної лікарні ім. О.Ф.Гербачевського Житомирської обласної ради для закупівлі медичних препаратів та засобів гігієни</t>
  </si>
  <si>
    <t>на співфінансування об"єкту - Реконструкція Новоборівської ЗНЗ І-ІІІ ступенів - ліцею</t>
  </si>
  <si>
    <t xml:space="preserve">для Новочорторийського Державного аграрного технікуму Любарського району, на розчищення завалу в гуртожитку </t>
  </si>
  <si>
    <t>на погашення кредиторської заборгованості за виконані роботи по об"єкту "Технічне переоснащення котельні з переведенням на альтеративні види палива в смт Головине"</t>
  </si>
  <si>
    <t>на проект "Реконструкція вуличного освітлення по вул.Шевченка та вул.Б.Хмельницького в с.Красівка, Бердичівського району Житомирської області"</t>
  </si>
  <si>
    <t>на проект "Реконструкція вуличного освітлення по вул. Польова, Л.Українки та вул. Революції Гідності в с.Красівка, Бердичівського району Житомирської області"</t>
  </si>
  <si>
    <t>на проект "Реконструкція вуличного освітлення по вул.Незалежності, Рад, Корольова та по пров. Б.Хмельницького в с.Красівка, Бердичівського району Житомирської області"</t>
  </si>
  <si>
    <t>на проект "Реконструкція вуличного освітлення с.Терехове, Бердичівського району Житомирської області"</t>
  </si>
  <si>
    <t>на співфінансування 10 % проекту "Технічне переоснащення станції знезалізнення водонапірної вежі  в с.Поліське по вул. Молодіжна Коростенського району, Житомирської області"</t>
  </si>
  <si>
    <t>на співфінансування 10 % проекту "Реконструкція вуличного освітлення села Бондарівка, Коростенського району, Житомирської області (коригування)"</t>
  </si>
  <si>
    <t>на співфінансування об"єкту "Технічне переоснащення із заміною аварійного обладнання КНС у смт Попільня"</t>
  </si>
  <si>
    <t>співфінансування проекту "Будівництво амбулаторії на 1-2 лікаря з житлом в с.Високе АЗПСМ Черняхівського району Житомирської області"</t>
  </si>
  <si>
    <t xml:space="preserve">для ліквідації наслідків часкового обвалу, оплата за проведення експертно-технічного стану та поточний ремонт житлових кімнат гуртожитку Новочорторийського державного аграрного технікуму </t>
  </si>
  <si>
    <t>1611080</t>
  </si>
  <si>
    <t xml:space="preserve">Виготовлення та встановлення металевої альтанки на водному об’єкті за адресою: вул. Миру, смт Гришківці </t>
  </si>
  <si>
    <t>3718500</t>
  </si>
  <si>
    <t>8500</t>
  </si>
  <si>
    <t>Нерозподілені трансферти з державного бюджету</t>
  </si>
  <si>
    <t>на придбання матеріалів та оплату послуг на ремонт лікувального кабінету поліклініки для КУ Житомирська міська дитяча стоматологічна поліклініка</t>
  </si>
  <si>
    <t>на придбання медичного обладнання для КУ ЦМЛ №2 м. Житомир</t>
  </si>
  <si>
    <t>на поточний ремонт будинку за адресою майдан Соборний, 5/1 (заміна загальнобудинкової електромережі та супутнього електрообладнання до неї) для ОСББ "Соборний квартал"</t>
  </si>
  <si>
    <t>на придбання жалюзі на вікна у дитячому відділенні  Бердичівської ЦМЛ</t>
  </si>
  <si>
    <t>на придбання кондиціонерів для маніпуляційної №1, №2 у неврологічне відділення Бердичівської ЦМЛ</t>
  </si>
  <si>
    <t>на придбання вікна для логопедичної  "А" групи "Золотий колосок" ДНЗ (ясла-садок) комбінованого типу №4 "Берегиня" м. Бердичева</t>
  </si>
  <si>
    <t>на проведення поточного ремонту  1-Б класу ЗОШ І-ІІІ ст. №6 ім. Житниченка І.В. м. Бердичева</t>
  </si>
  <si>
    <t>на придбання та встановлення дитячого ігрового майданчика по вул. Паризької Комуни, 43А м. Бердичів (МК ВЖРЕП №7)</t>
  </si>
  <si>
    <t>на придбання та монтаж спортивного обладнання (100000), на послуги з побудови штучного покриття для міні-футболу (100000) ЗОШ І-ІІІ ст. №6 ім. Житниченка І.В.</t>
  </si>
  <si>
    <t>на придбання металопластикових дверей для перев"язувального кабінету для травматологічного відділення Бердичівської ЦМЛ</t>
  </si>
  <si>
    <t>на придбання медичної шафи для перев"язувального кабінету для травматологічного відділення Бердичівської ЦМЛ</t>
  </si>
  <si>
    <t>на придбання спортивних костюмів, форми, баскетбольних м"ячів, спортивого інвентаря та обладнання для Коростенської дитячо-юнацької спортивної школи</t>
  </si>
  <si>
    <t>на придбання спортивно-ігрового комплексу по вул Сосновського 48 для ОСББ "Сосновського 48"</t>
  </si>
  <si>
    <t>на придбання єврорубероїду  для поточного ремонту покрівлі по вул. Героїв Небесної Сотні, 19 для ОСББ "Супутник-19"</t>
  </si>
  <si>
    <t xml:space="preserve"> на придбання меблів  в адміністративні приміщення спортивної зали для Коростенського міського колегіуму</t>
  </si>
  <si>
    <t>на придбання спортивних костюмів, форми, баскетбольних м"ячів, спортивного інвентаря та обладнання для Коростенської ДЮСШ</t>
  </si>
  <si>
    <t>на придбання дитячих ліжок для Осиківського ЗДО Осиківської сільської ради</t>
  </si>
  <si>
    <t>на придбання ноутбука для Будинку культури Осиківської сільської ради</t>
  </si>
  <si>
    <t>на виготовлення та встановлення металевого містка на водному об"єкті за адресою: вул Миру, смт Гришківці,  Бердичівського району</t>
  </si>
  <si>
    <t>на придбання постільної білизни Скаківському ДНЗ "Перлинка"</t>
  </si>
  <si>
    <t>на придбання спортивної екіпіровки та інвентарю, на транспортні послуги та проведення навчально-тренувальних зборів для ДЮСШ Бердичівського району</t>
  </si>
  <si>
    <t>на придбання  матеріалів для поточного ремонту стадіону "Колос" с. Скраглівка  для ДЮСШ Бердичівського району</t>
  </si>
  <si>
    <t>на придбання спортивного інвентарю, форми та екіпіровки для відділення футболу ДЮСШ Бердичівського району</t>
  </si>
  <si>
    <t>на придбання профнастилу, козирків та саморізів для Липниківської ЗОШ І-ІІІ ст.</t>
  </si>
  <si>
    <t>на придбання і встановлення віконних блоків для терапевтичного відділення Попільнянської ЦРЛ</t>
  </si>
  <si>
    <t>на придбання матеріалів та проведення ремонту санітарно-побутових кімнат у відділенні анестезіології та інтенсивної терапії Попільнянської ЦРЛ</t>
  </si>
  <si>
    <t>на придбання меблів, постільної білизни для ДНЗ Вишевицької сільської ради (с. Веприн, с. Межирічка, с. Вишевичі)</t>
  </si>
  <si>
    <t>на придбання стільців для ДНЗ закритого типу Потіївської сільської ради</t>
  </si>
  <si>
    <t>на придбання вхідних дверей для Турбівської філії І-ІІ ст. опорного навчального закладу Корнинський НВК "ЗОШ І ст.-гімназія" Корнинської селищної ради</t>
  </si>
  <si>
    <t>на придбання баяна для Корнинської селищної ради</t>
  </si>
  <si>
    <t>на придбання ноутбука для Олевської ЗОШ І-ІІІ ст. №3</t>
  </si>
  <si>
    <t>на придбання будівельних матеріалів для Олевської ЗОШ І-ІІІ ст. №2</t>
  </si>
  <si>
    <t>на придбання тканини та декоративних матеріалів для Олевської ЗОШ І-ІІІ ст. №2</t>
  </si>
  <si>
    <t>на придбання шкільної дошки для Олевської ЗОШ І-ІІІ ст. №2</t>
  </si>
  <si>
    <t xml:space="preserve">на придбання будівельних матеріалів для Тепеницької ЗОШ І-ІІІ ст. </t>
  </si>
  <si>
    <t>на придбання кольорового принтера для Олевської гімназії</t>
  </si>
  <si>
    <t>на придбання мультимедійного обладнання (проектора та екрана) для Варварівської ЗОШ І-ІІІ ст.</t>
  </si>
  <si>
    <t>на придбання мультимедійного обладнання (проектора та екрана) для Дружбівського НВК</t>
  </si>
  <si>
    <t>на придбання комплектів військово-спортивної форми та пневматичної гвинтівки для Новоозерянського НВК</t>
  </si>
  <si>
    <t>на придбання принтера для Замисловицької ЗОШ І-ІІІ ст.</t>
  </si>
  <si>
    <t>на придбання ноутбука для Озерянської ЗОШ І-ІІ ст.</t>
  </si>
  <si>
    <t>на придбання комплектів військово-спортивної форми для Майданської ЗОШ І-ІІІ ст.</t>
  </si>
  <si>
    <t>на придбання інструментів для класу трудового навчання для Кам"янської ЗОШ І-ІІІ ст.</t>
  </si>
  <si>
    <t>на придбання килимового покриття для Олевського ДНЗ №2 "Малятко"</t>
  </si>
  <si>
    <t xml:space="preserve">на придбання пральної машини для ДНЗ №25 "Чебурашка" с. Зольня Зольнянський старостинський округ </t>
  </si>
  <si>
    <t>на придбання настільних ігор для бібліотек "Централізована бібліотечна система"</t>
  </si>
  <si>
    <t>на придбання принтера для ДНЗ №15 "Чебурашка" с. Жубровичі</t>
  </si>
  <si>
    <t>на придбання сценічних костюмів та взуття для будинку культури с. Тепениця</t>
  </si>
  <si>
    <t>на проведення поточного ремонту вул. Кишинська   м. Олевськ</t>
  </si>
  <si>
    <t>на придбання жалюзі для дитячого відділення КУ "Олевська центральна лікарня"</t>
  </si>
  <si>
    <t>на придбання медичного обладнання (столи перев"язувальні) для травматологічного  відділення КУ "Олевська центральна лікарня"</t>
  </si>
  <si>
    <t>на придбання комплекту спортивної волейбольної форми для КУ "Олевська ДЮСШ"</t>
  </si>
  <si>
    <t>на придбання комплекту спортивної форми (футбольних гетрів) для КУ "Олевська ДЮСШ"</t>
  </si>
  <si>
    <t>на капітальний ремонт туалету Кишинської ЗОШ І-ІІІ ст.</t>
  </si>
  <si>
    <t>на придбання учнівських меблів для кабінету інформаційно-комунікаційних технологій гімназії мені В.П. Фількова</t>
  </si>
  <si>
    <t>на придбання аналізатора сечі та комплекту тест-смужок для КНП "Попільнянський ЦПМСД" Попільнянської селищної ради</t>
  </si>
  <si>
    <t>на заміну віконних блоків Сокільчанській амбулаторії ЗПСМ с. Сокільчі  КНП "Попільнянський ЦПМСД" Попільнянської селищної ради</t>
  </si>
  <si>
    <t>на придбання холодильника та плазмового телевізора для Єрчицької ЗОШ І-ІІ ст. Попільнянського району</t>
  </si>
  <si>
    <t>на поповнення книжково-бібліотечного фонду сільської бібліотеки с. Квітневе</t>
  </si>
  <si>
    <t>на придбання інтерактивної (сенсорної) дошки для Великонизгірецької ЗОШ І-ІІІ ст. Семенівської сільської ради</t>
  </si>
  <si>
    <t>на придбання спортивного інвентарю для Хажинської ЗОШ І-ІІІ ст. Семенівської сільської ради</t>
  </si>
  <si>
    <t>на придбання будівельних і господарських матеріалів для поточного ремонту Іванковецької ЗОШ І-ІІІ ст. Семенівської сільської ради</t>
  </si>
  <si>
    <t xml:space="preserve">на придбання тротуарної плитки на поточний ремонт доріжки для Великонизгірецького ДНЗ "Золотий ключик" </t>
  </si>
  <si>
    <t>на виготовлення проектної (або іншої) документації "Капітальний ремонт будівель (енергоефективна термосанація) з улаштуванням благоустрою Овруцької ЦРЛ"</t>
  </si>
  <si>
    <t>на придбання вишитих сорочок та художніх костюмів для учасників колективу художньої самодіяльності Піщаницького будинку культури</t>
  </si>
  <si>
    <t>на придбання віконних блоків для 1 класу Осичківської ЗОШ І-ІІІ ст.</t>
  </si>
  <si>
    <t>на заміну вікон, вхідних та міжкімнатних дверей для КНП "Центр первинної медико-санітарної допомоги" Радомишльської міської ради</t>
  </si>
  <si>
    <t xml:space="preserve">на придбання твердопаливних котлів для сільських клубів </t>
  </si>
  <si>
    <t>на придбання пластикових вікон та вхідних дверей для будинку культури Потіївської сільської ради</t>
  </si>
  <si>
    <t>на придбання тротуарної плитки для КУ "Потіївський ліцей" Потіївської сільської ради</t>
  </si>
  <si>
    <t>на поточний ремонт приміщення бібліотеки с. Хмелище Скаківської сільської ради</t>
  </si>
  <si>
    <t>на придбання ноутбука та рукомийника для клубу с. Калинівка Левківської сільської ради</t>
  </si>
  <si>
    <t>на придбання металопластикових конструкцій, жалюзі, склопакет, підвіконня та на оплату ремонту вікон для Овруцької ЦРЛ</t>
  </si>
  <si>
    <t>на придбання швецьких стінок "Малюк" з кріпленням, гімнастичних лав, баскетбольного щита, волейбольної сітки, шкільної дошки, спортивного інвентаря для філії "Березинської початкової школи" комунального опорного закладу освіти "Глибочицький ліцей" Глибочицької сільської ради</t>
  </si>
  <si>
    <t xml:space="preserve">на придбання мультимедійних проекторів (2шт.) та мультимедійних екранів (2 шт.) для комунального опорного закладу освіти "Глибочицький ліцей" Глибочицької сільської ради  </t>
  </si>
  <si>
    <t>на придбання брусу сухого струганого та сухої рейки для перекриття даху приміщення ДНЗ "Ромашка" с. Бежів</t>
  </si>
  <si>
    <t>на придбання дверей металевих для ДНЗ "Ромашка" с. Бежів</t>
  </si>
  <si>
    <t>на придбання лавок металевих для  ДНЗ "Ромашка" с. Бежів</t>
  </si>
  <si>
    <t>Технічне переоснащення станції знезалізнення водонапірної вежі с.Поліське по вул.Молодіжна Коростенського району Житомирської області</t>
  </si>
  <si>
    <t>Погашення кредиторської заборгованості за виконані роботи по об"єкту "Технічне переоснащення котельні з переведенням на альтернативні види палива в смт Головине"</t>
  </si>
  <si>
    <t>Реконструкція (ефективна термосанація) Миропільської гімназії Романівського району Житомирської області за адресою: смт Миропіль, вул.Центральна,46</t>
  </si>
  <si>
    <t>Мельник</t>
  </si>
  <si>
    <t>на придбання паперу формату А4 для Бердичівського об"єднаного міського військового комісаріату</t>
  </si>
  <si>
    <t>Любимівська сільська рада Андрушівського району</t>
  </si>
  <si>
    <t>Райгородоцька сільська рада Бердичівського району</t>
  </si>
  <si>
    <t>Биківська сільська рада Романівського району</t>
  </si>
  <si>
    <t>на проведення нормативної грошової оцінки земель у межах населених пунктів</t>
  </si>
  <si>
    <t>на проведення вишукувальних робіт та розробку проектної документації на новоутворених ділянках розвитку водної ерозії  земель Словечансько-Овруцького кряжу на території Словечанської сільської ради Овруцького району</t>
  </si>
  <si>
    <t>на будівництво та реконструкцію протиерозійних гідротехнічних споруд на землях Словечансько-Овруцького кряжу на території Словечанської сільської ради Овруцького району</t>
  </si>
  <si>
    <t>Дод 3 ДФ</t>
  </si>
  <si>
    <t>КОНТРОЛЬ</t>
  </si>
  <si>
    <t>06301516000</t>
  </si>
  <si>
    <t>06303519000</t>
  </si>
  <si>
    <t>06306515000</t>
  </si>
  <si>
    <t>на придбання металопластикових центральних дверей та стінки для Лисівської філії І-ІІ ст. Опорного навчального закладу "Корнинський НВК "ЗОШ І ст.-гімназія" Корнинської селищної ради</t>
  </si>
  <si>
    <t>на співфінансування реконструкції (термомодернізації) Андрушківської загальноосвітньої школи І-ІІІ ступенів по вулиці Шкільна 1, в с.Андрушки Попільнянського району Житомирської області</t>
  </si>
  <si>
    <t>співфінансування на будівництво амбулаторії на 1-2 лікаря з житлом по вул.Центральній, 42 в с.Борщів Радомишльського району</t>
  </si>
  <si>
    <t>Субвенція з державного бюджету місцевим бюджетам на реалізацію заходів, спрямованих на розвиток системи охорони здоров"я у сільській місцевості</t>
  </si>
  <si>
    <t>на виготовлення ПКД під зупинку громадського транспорту (смт Новогуйвинське вул.Лісова) на управління дорожнього будівництва та розвитку дорожньої інфраструктури Житомирської ОДА</t>
  </si>
  <si>
    <t>на незавершений будівництвом дитячий садок в с.Кодня Житомирського району-реконструкція під школу. Коригування проектно-кошторисної документації по листу замовника від 06.01.2016 р. № 04-21</t>
  </si>
  <si>
    <t>на капітальний ремонт вуличного освітлення в с.Болотниця, с.Вязівка, с.Латаші, с.Мотійки, с.Сухарівка  Народицького району Житомирської області</t>
  </si>
  <si>
    <t xml:space="preserve">Потіївський сільський бюджет </t>
  </si>
  <si>
    <t>Субвенція з державного бюджету місцевим бюджетам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населенню, бюджетним установам і організаціям та/або іншим підприємствам теплопостачання, централізованого питного водопостачання та водовідведення, які надають такі послуги, та тарифами, що затверджувалися та/або погоджувалися органами державної влади чи місцевого самоврядування</t>
  </si>
  <si>
    <t>Субвенція з місцевого бюджету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населенню, бюджетним установам і організаціям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самоврядування, за рахунок відповідної субвенції з державного бюджету</t>
  </si>
  <si>
    <t>1117320</t>
  </si>
  <si>
    <t>1117325</t>
  </si>
  <si>
    <r>
      <t>Будівництво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об'єктів соціально-культурного призначення</t>
    </r>
  </si>
  <si>
    <r>
      <t>Будівництво</t>
    </r>
    <r>
      <rPr>
        <i/>
        <vertAlign val="superscript"/>
        <sz val="14"/>
        <rFont val="Times New Roman"/>
        <family val="1"/>
        <charset val="204"/>
      </rPr>
      <t>1</t>
    </r>
    <r>
      <rPr>
        <i/>
        <sz val="14"/>
        <rFont val="Times New Roman"/>
        <family val="1"/>
        <charset val="204"/>
      </rPr>
      <t xml:space="preserve"> споруд, установ та закладів фізичної культури і спорту</t>
    </r>
  </si>
  <si>
    <t xml:space="preserve"> на придбання інтерактивної дошки, мультимедійного проектора та ноутбука для ЗОШ І-ІІІ ст. №12 м.Бердичева</t>
  </si>
  <si>
    <t>на придбання сучасного трансивера для радіозв"язку та комплекту радіоапаратури для спортивної радіопеленгації для Маркушівської ЗОШ І-ІІІ ст.</t>
  </si>
  <si>
    <t>Придбання холодильної шафи для ДНЗ №40 м.Житомир</t>
  </si>
  <si>
    <t>Поточний ремонт санвузла та приміщень (включаючи придбання будівельних матеріалів) ясельної групи №1  ДНЗ №30 м.Житомир</t>
  </si>
  <si>
    <t>Придбання сантехніки для початкової школи ЗОШ І-ІІІ ступенів №6 ім.В.Г.Короленка м.Житомир</t>
  </si>
  <si>
    <t>Придбання та встановлення камер відеоспостереження для ОСББ "Техносервіс" м.Житомир</t>
  </si>
  <si>
    <t>Зміцнення матеріально-технічної бази Житомирського міського територіального центру соціального обслуговування (надання соціальних послуг) Житомирської міської ради</t>
  </si>
  <si>
    <t>Придбання принтера зі сканером для ЗОШ І-ІІІ ст. №1 м.Житомир</t>
  </si>
  <si>
    <t>Придбання та встановлення металопластикових вікон у середню групу №2 НВК №11 м.Житомир</t>
  </si>
  <si>
    <t>Придбання меблів у пральню ДНЗ №15 м.Житомир</t>
  </si>
  <si>
    <t>Придбання ноутбука для ЗОШ І-ІІІ ст. №32 м.Житомир</t>
  </si>
  <si>
    <t>Придбання багатофункціонального лазерного кольорового пристрою для ДНЗ №6 м.Житомир</t>
  </si>
  <si>
    <t>Заміна поштових ящиків у будинку за адресою провулок 3-й Березівський, 6 для ОСББ "Березівський"</t>
  </si>
  <si>
    <t>Придбання та встановлення дитячого ігрового комплексу для ОСББ "Захисник Полісся 108-А"</t>
  </si>
  <si>
    <t xml:space="preserve">Придбання комп"ютерного обладнання для ЗОШ І-ІІІ ст. №28 м.Житомир </t>
  </si>
  <si>
    <t>Придбання та встановлення дитячого ігрового майданчика на прибудинковій території житлового будинку по вул.Братів Міхеєвих, 2 в м.Бердичеві (ОСББ "Усмішка-2")</t>
  </si>
  <si>
    <t>Придбання інвентарю, інструментів, запчастин, спецодягу та взуття для МКП "Бердичівводоканал"</t>
  </si>
  <si>
    <t>Капітальний ремонт вул. Інтернаціоналістів у м.Бердичеві</t>
  </si>
  <si>
    <t>Капітальний ремонт внутрішньобудинкових електричних мереж житлового будинку по вул. Одеській, 36/1 в м. Бердичеві (МК ВЖРЕП №7)</t>
  </si>
  <si>
    <t>Придбання медичного обладнання для Нов.-Волинського міськрайТМО</t>
  </si>
  <si>
    <t xml:space="preserve">Заміна вікон у хірургічно-травматологічному відділенні лікарні Малинського міськрайТМО </t>
  </si>
  <si>
    <t>Поточний ремонт системи водопостачання та водовідведення ДНЗ №8 "Ялинка"</t>
  </si>
  <si>
    <t>Поточний ремонт освітлення в парку по вул. Гагаріна м.Малин</t>
  </si>
  <si>
    <t>Придбання аналізатора крові та ЕКГ холтера для Малинського міськрайТМО</t>
  </si>
  <si>
    <t>Придбання холодильників та меблів для інфекційного відділення Андрушівської ЦРЛ</t>
  </si>
  <si>
    <t>Придбання програмного забезпечення для КНП "ЦПМСД Бердичівської районної ради"</t>
  </si>
  <si>
    <t>Поточний ремонт дошкільного закладу в с.Камінь</t>
  </si>
  <si>
    <t xml:space="preserve">Поточний ремонт Романівського районного будинку культури </t>
  </si>
  <si>
    <t>Придбання кухонного обладнання та посуду в їдальню Биківської ЗОШ І-ІІІ ст. Романівського району</t>
  </si>
  <si>
    <t>Придбання ДСП для ремонту підлоги спортивного залу Камінської ЗОШ І-ІІІ ст. Романівського району</t>
  </si>
  <si>
    <t>Придбання медичного обладнання для КНП "Ємільчинський центр ПМСД"</t>
  </si>
  <si>
    <t>Придбання щебеневої продукції для поточного ремонту під"їздних доріг до масиву "Давидівський" Іванівської сільської ради</t>
  </si>
  <si>
    <t>Придбання дитячого майданчика для Іванівської сільської ради</t>
  </si>
  <si>
    <t>Придбання витяжної шафи та навісу для криниці для ДНЗ "Теремок" Хотинівської с/р</t>
  </si>
  <si>
    <t>Придбання ноутбуку для ФАП с.Старики (13,0), меблів, дверей, рукомийника та інгалятора (24,0) для КНП Коростенського районного ЦПМСД</t>
  </si>
  <si>
    <t>Придбання ноутбуку для Сарновицької СЗШ І-ІІІ ст. Коростенського району</t>
  </si>
  <si>
    <t>Ремонт лікарняного ліфта Коростишівської ЦРЛ ім.Потєхіна</t>
  </si>
  <si>
    <t xml:space="preserve">Придбання матеріалів для ремонту даху,  придбання матеріалів для проведення інших ремонтних робіт та заміни  3-х вікон для Ксаверівського НВК "ДНЗ-ЗНЗ І-ІІ ст." </t>
  </si>
  <si>
    <t>Придбання ноутбука та предметів і матеріалів для Бігунської ЗОШ І-ІІІст.</t>
  </si>
  <si>
    <t>Поточний ремонт вуличного освітлення с.Паволоч та с.Соколів Брід Попільнянського району</t>
  </si>
  <si>
    <t>Ремонт даху будинку культури с.Роставиця Ружинського району</t>
  </si>
  <si>
    <t>Фінансова підтримка Ружинської районної організації ветеранів</t>
  </si>
  <si>
    <t>Придбання баскетбольних щитів для Ружинської гімназії (20,0) та стільців для Чорнорудської ЗОШ І-ІІІ ст. (10,0)</t>
  </si>
  <si>
    <t>Придбання стільців для Роставицького будинку культури</t>
  </si>
  <si>
    <t>Поточний ремонт приміщень протитуберкульозного кабінету Пулинської ЦРЛ</t>
  </si>
  <si>
    <t>Придбання меблів для Черняхівського терцентру соціального обслуговування (надання соціальних послуг)</t>
  </si>
  <si>
    <t>Придбання посуду для їдальні Селецької ЗОШ І-ІІ ст.</t>
  </si>
  <si>
    <t>Придбання посуду для їдальні Бежівської ЗОШ І-ІІ ст.</t>
  </si>
  <si>
    <t>Придбання посуду для їдальні Головинської гімназії</t>
  </si>
  <si>
    <t>Придбання холодильника для їдальні Дівочківської ЗОШ І-ІІ ст.</t>
  </si>
  <si>
    <t>Придбання кухонного обладнання для їдальні Андріївської ЗОШ І-ІІІ ст.</t>
  </si>
  <si>
    <t>Придбання холодильника та посуду для їдальні Селянщинського спортивного ліцею</t>
  </si>
  <si>
    <t>Придбання посуду та кухонного обладнання для їдальні Черняхівської гімназії</t>
  </si>
  <si>
    <t>Придбання мийної ванни для їдальні Бежівської ЗОШ І-ІІ ст.</t>
  </si>
  <si>
    <t>Придбання бойлера для їдальні Черняхівської ЗОШ І-ІІІ ст.</t>
  </si>
  <si>
    <t>Придбання посуду та мийної ванни для їдальні Салівської ЗОШ І-ІІ ст.</t>
  </si>
  <si>
    <t xml:space="preserve">Придбання та впровадження проекту "Чиста лікарня безпечна для пацієнта" для Чуднівської ЦРЛ </t>
  </si>
  <si>
    <t>Реконструкція вуличного освітлення в селах Кам"яний Брід та Кропивня</t>
  </si>
  <si>
    <t>Надання матеріальної допомоги на проведення ендопротезування Дідківської В.М. жительки смт Нова Борова</t>
  </si>
  <si>
    <t>Облаштування кабінету лікувальної фізкультури та придбання інвентарю для КУ "Інклюзивно-ресурсний центр" Коростишівської міської ради</t>
  </si>
  <si>
    <t xml:space="preserve">На благоустрій с. Копище </t>
  </si>
  <si>
    <t xml:space="preserve">Придбання дитячого  майданчика в с. Хочине </t>
  </si>
  <si>
    <t xml:space="preserve">Придбання музичної апаратури для будинку культури смт. Новоозерянка </t>
  </si>
  <si>
    <t>Придбання туристичного спорядження для Новоозерянського НВК</t>
  </si>
  <si>
    <t xml:space="preserve">На благоустрій с. Зольня  </t>
  </si>
  <si>
    <t>Придбання телевізора для Новоозерянського НВК, багатофункціонального пристрою (МФУ) для Хочинської ЗОШ І-ІІІ ст., телевізора для Жубровицької ЗОШ І-ІІІ ст.,  телевізора для Копищанської ЗОШ І-ІІІ ст.</t>
  </si>
  <si>
    <t xml:space="preserve">Придбання дитячих ігор для Централізованої бібліотечної системи  м. Олевськ </t>
  </si>
  <si>
    <t>Виготовлення ПКД для ремонту дитячого відділення Олевської ЦРЛ</t>
  </si>
  <si>
    <t xml:space="preserve">Придбання сценічних костюмів для  будинку культури с. Зубковичі. </t>
  </si>
  <si>
    <t>Закупівля матеріалів та обладнання для гуртків Олевського ЦХЕТУМу</t>
  </si>
  <si>
    <t xml:space="preserve">Придбання іграшок для Олевського центру розвитку дитини №2 "Сонечко" м. Олевськ </t>
  </si>
  <si>
    <t>Придбання обладнання та матеріальних ресурсів для Олевської ЦЛ</t>
  </si>
  <si>
    <t>Придбання глюкометрів для КНП Олевського ЦПМСД</t>
  </si>
  <si>
    <t>Виготовлення ПКД на капремонт (ефективна термосанація) житлового будинку по вул.Герцена  22 в м.Олевськ</t>
  </si>
  <si>
    <t>Виготовлення ПКД на капремонт приміщення Олевського центру художньо-естетичної творчості учнівської молоді</t>
  </si>
  <si>
    <t>Придбання інтерактивного мультимедійного комплексу для спеціалізованого класу хімії Олевської ЗОШ І-ІІІ ст. №2</t>
  </si>
  <si>
    <t>Придбання оргтехніки для ендокринологічного кабінету Брусилівської ЦРЛ</t>
  </si>
  <si>
    <t>Придбання дитячих стільців та музичної (мікшерної) колонки для Миропільського центру розвитку дитини Романівського району</t>
  </si>
  <si>
    <t>Придбання кухонного обладнання в їдальню Миропільської ЗОШ І-ІІІ ст. Романівського району</t>
  </si>
  <si>
    <t>Виготовлення ПКД на капітальний ремонт покрівлі Хорошівського будинку культури</t>
  </si>
  <si>
    <t>Придбання національних костюмів художньому колективу "Роксолана" селища Бучмани</t>
  </si>
  <si>
    <t>Придбання електричної плити та пральної машини для ДНЗ с.Давидки Горщиківської ОТГ</t>
  </si>
  <si>
    <t>Придбання меблів для їдальні Квітневої ЗОШ І-ІІІ ст.</t>
  </si>
  <si>
    <t>Поліпшення технічного стану та благоустрою водойми (ставу) на річці Уборть у с.Куліші</t>
  </si>
  <si>
    <t>Придбання інтерактивного комплексу та багатофункціонального пристрою для Підлубівської ЗЗСО І-ІІІ ст.</t>
  </si>
  <si>
    <t>Виготовлення ПКД по термосанації Любарської гімназії №1</t>
  </si>
  <si>
    <t>Придбання бензопили для Словечанської районної лікарні</t>
  </si>
  <si>
    <t>Придбання предметів і матеріалів для огорожі сміттєзвалища (29,0) та каналізаційних люків (5,0) для Словечанської сільської ради</t>
  </si>
  <si>
    <t>Закупівля матеріалів для проведення ремонту та покращення матеріально-технічної бази фельдшерського пункту в с.Левковичі</t>
  </si>
  <si>
    <t xml:space="preserve">Придбання обладнання (елементів) для дитячого майданчика для с. Норинськ </t>
  </si>
  <si>
    <t>Придбання відеопроекторів та екранів для Мартинівської ЗОШ І-ІІІ ст та Новозаводської ЗОШ І-ІІІ ст. (Мартинівська ОТГ)</t>
  </si>
  <si>
    <t>Будівництво (розширення) водогінної мережі в с.Соколів</t>
  </si>
  <si>
    <t>Поточний ремонт артезіанської свердловини №2 по вул.Козацька в смт Пулини</t>
  </si>
  <si>
    <t>Заміна вікон на енергозберігаючі у Радомишльській ЗОШ І-ІІІ ст. №5 (34,0) та будинку дитячої творчості Радомишльської міської ради (36,0)</t>
  </si>
  <si>
    <t>Придбання обладнання та матеріалів для Радомишльського НВК "ЗОШ І-ІІІ ст. №4-ДНЗ" ім.І.Самоплавського</t>
  </si>
  <si>
    <t>на проект  "Будівництво амбулаторії на 1-2 лікаря з житлом по вул.Каштанова, 113а у с.Семенівка, Бердичівського району"</t>
  </si>
  <si>
    <t>Оплата ПКД "Капітальний ремонт системи теплопостачання котельні Будинку культури с.Більківці Коростишівського району, Житомирської області"</t>
  </si>
  <si>
    <t>На оплату послуг по виготовленню технічної документації із землеустрою для Житомирського професійного політехнічного ліцею</t>
  </si>
  <si>
    <t>Придбання апарата для штучної вентеляції легень для Попільнянської ЦРЛ</t>
  </si>
  <si>
    <t>Виготовлення паспорту спорядження фасадів меморіального будинку-музею С.П.Корольова по вул.Дмитрівській,5 в м.Житомирі</t>
  </si>
  <si>
    <t>Облаштування банно-прального приміщення спортивно-оздоровчої бази в с.Березино Житомирського району</t>
  </si>
  <si>
    <t>на капітальний ремонт даху Іванковецької загальноосвітньої школи І-ІІІ ст.</t>
  </si>
  <si>
    <t>на придбання дитячих меблів для Житомирського ДНЗ №32</t>
  </si>
  <si>
    <t>на придбання телевізора для учнів 6-В класу Житомирської ЗОШ І-ІІІ ст.№6 ім. В.Г. Короленка</t>
  </si>
  <si>
    <t>на придбання столів для ЗОШ І-ІІІ ст. №26 м. Житомира</t>
  </si>
  <si>
    <t>на придбання меблів (лавок) для КУ "ЦПМСД" Житомирської міської ради</t>
  </si>
  <si>
    <t>на придбання парового стерилізатора для КУ "ЦПМСД" Житомирської міської ради</t>
  </si>
  <si>
    <t>на придбання обладнання для навчальної майстерні з професії "Кухар; офіціант; бармен" для ДНЗ "Житомирське вище професійне технологічне училище"</t>
  </si>
  <si>
    <t>на придбання комп"ютера в ендокринологічний кабінет для КУ ЦМЛ №2 м. Житомир</t>
  </si>
  <si>
    <t>на придбання оргтехніки для Житомирського ДНЗ №21</t>
  </si>
  <si>
    <t>на придбання внутрішньопід"їздних енергозберігаючих ліхтарів для встановлення в житлових будинках за адресами вул. Домбровського 4,6,24,28,30</t>
  </si>
  <si>
    <t>на придбання ноутбука для 3-д класу ЗОШ №19 м. Житомира</t>
  </si>
  <si>
    <t>на придбання та встановлення металопластикових вікон у під"їздах на місцях загального користування (сходові клітини) у будинку за адресою проспект Миру 8 м. Житомир</t>
  </si>
  <si>
    <t>на встановлення системи відеонагляду для ОСББ "Вільський шлях 14, корпус 3" м. Житомир</t>
  </si>
  <si>
    <t xml:space="preserve"> на придбання меблів (14500) та на придбання енергозберігаючих світильників (5500) для Житомирського міського колегіуму</t>
  </si>
  <si>
    <t>на придбання спортивної форми та інвентарю  для секції хокею на траві, мультимедійного проектора та електронного годинника для Житомирської ЗОШ І-ІІІ ст. №8</t>
  </si>
  <si>
    <t>на придбання спортивного інвентаря для проведення навчально -тренувальних занять для Центру професійно-технічної освіти м. Житомир</t>
  </si>
  <si>
    <t>на придбання пральної машини для Житомирського ДНЗ №27</t>
  </si>
  <si>
    <t>на придбання комп"ютерної техніки, оргтехніки та меблів для Житомирської ЗОШ І-ІІІ ст. №10</t>
  </si>
  <si>
    <t>на поточний ремонт хірургічного відділення  КУ "ЦМЛ №2" м. Житомир</t>
  </si>
  <si>
    <t>на придбання та встановлення дитячого ігрового комплексу за адресою: вул. Чуднівська,106 м. Житомир</t>
  </si>
  <si>
    <t>Встановлення енергозберігаючих вікон на сходинкових клітинах для ОСББ "Сорочинці-19" м.Житомир</t>
  </si>
  <si>
    <t>на придбання та встановлення дитячого ігрового майданчика на прибудинковій території житлового будинку по вул. Євгена Старікова,5 в м. Бердичеві (ОСББ "Сузір"я-3-5")</t>
  </si>
  <si>
    <t>на придбання та встановлення дитячого ігрового майданчика на прибудинковій території житлового будинку по вул. Одеській,58 в м. Бердичеві (ОСББ "Катюша-58)</t>
  </si>
  <si>
    <t>на придбання та встановлення дитячого ігрового майданчика на прибудинковій території житлового будинку по вул. Житомирській,59 в м. Бердичеві (ОСББ "Фіалки-59")</t>
  </si>
  <si>
    <t xml:space="preserve"> на придбання та встановлення спортивно-ігрового майданчика на території стадіону ДЮСШ у м. Бердичеві по вул. Шкіряників, 1А </t>
  </si>
  <si>
    <t>на придбання та встановлення дитячого ігрового майданчика на прибудинковій території житлових будинків по вул. Одеській 70,74 А, 74 Б в м.Бердичеві (МК ВЖРЕП №7)</t>
  </si>
  <si>
    <t>на придбання меблів (шафи) у каб. №6  ЗОШ І-ІІІ ст.№5 м. Бердичів</t>
  </si>
  <si>
    <t>на придбання килимової доріжки 3м для ЗОШ І-ІІІ ст.№5 м. Бердичів</t>
  </si>
  <si>
    <t>на придбання вхідних дверей у під"їзди, 3шт. по вул. Зоряній 29-А,29-Б в м. Бердичеві (ОСББ "Діамант-29")</t>
  </si>
  <si>
    <t>на придбання та встановлення дитячого ігрового майданчика на прибудинковій території житлового будинку по вул. Новоіванівській, 19 в  м. Бердичеві (ОСББ "Водограй-19")</t>
  </si>
  <si>
    <t>на придбання електроводонагрівача для інфекційного відділення Бердичівської ЦМЛ</t>
  </si>
  <si>
    <t>на придбання шкільних меблів для ЗНВК №4 м. Бердичева</t>
  </si>
  <si>
    <t>на придбання вікон у  ЗОШ І-ІІІ ст №5 м.Бердичева</t>
  </si>
  <si>
    <t>на придбання плазмового телевізора з кронштейном для ЗОШ № 18 м. Бердичів</t>
  </si>
  <si>
    <t>на капітальний ремонт вулиці Інтернаціоналістів у м. Бердичеві</t>
  </si>
  <si>
    <t xml:space="preserve"> на придбання товарів та матеріалів для проведення робіт по благоустрою прибудинкової території для ОСББ "Дружній дім"</t>
  </si>
  <si>
    <t xml:space="preserve"> на придбання товарів та матеріалів для проведення робіт по благоустрою прибудинкової території для ОСББ "Шолом-Алейхема, 72-А"</t>
  </si>
  <si>
    <t xml:space="preserve"> на придбання товарів та матеріалів для проведення робіт по благоустрою прибудинкової території для ОСББ "Коростень-Еліт"</t>
  </si>
  <si>
    <t xml:space="preserve"> на придбання товарів та матеріалів для проведення робіт по благоустрою прибудинкової території для ОСББ "Коростень Центральне"</t>
  </si>
  <si>
    <t xml:space="preserve"> на придбання товарів та матеріалів для проведення робіт по благоустрою прибудинкової території для ОСББ "Шевченка, 5"</t>
  </si>
  <si>
    <t xml:space="preserve"> на придбання товарів та матеріалів для проведення робіт по благоустрою прибудинкової території для ОСББ "Дім моєї мрії"</t>
  </si>
  <si>
    <t xml:space="preserve"> на придбання товарів та матеріалів для проведення робіт по благоустрою прибудинкової території для ОСББ "Сьомий будинок"</t>
  </si>
  <si>
    <t xml:space="preserve"> на придбання товарів та матеріалів для проведення робіт по благоустрою прибудинкової території для ОСББ "Мелодія-4"</t>
  </si>
  <si>
    <t xml:space="preserve"> на придбання товарів та матеріалів для проведення робіт по благоустрою прибудинкової території для ОСББ "Київська-3"</t>
  </si>
  <si>
    <t xml:space="preserve"> на придбання товарів та матеріалів для проведення робіт по благоустрою прибудинкової території для ОСББ "Мудре"</t>
  </si>
  <si>
    <t xml:space="preserve"> на придбання товарів та матеріалів для проведення робіт по благоустрою прибудинкової території для ОСББ "Поліська злагода"</t>
  </si>
  <si>
    <t xml:space="preserve"> на придбання товарів та матеріалів для проведення робіт по благоустрою прибудинкової території для ОСББ "Сосновського-44"</t>
  </si>
  <si>
    <t>на  придбання та встановлення світлодіодних світильників на під"їздах багатоквартирних житлових будинків у м. Коростені</t>
  </si>
  <si>
    <t>на  придбання та встановлення світлодіодних світильників на будівлі Центру розвитку дитини №17  м. Коростень</t>
  </si>
  <si>
    <t>на придбання  телевізора та настінного кріплення з нахилом для НВК "школа-гімназія" №12 м. Коростень</t>
  </si>
  <si>
    <t>на придбання  телевізора та настінного кріплення з нахилом для НВК "Школа-гімназія №2 імені  Володимира Сингаївського" м. Коростень</t>
  </si>
  <si>
    <t>на придбання  телевізора та настінного кріплення з нахилом для Коростенської ЗОШ І-ІІІ ст. №9 м. Коростень</t>
  </si>
  <si>
    <t>на придбання дитячого майданчика  та на облаштування ігрових майданчиків для ДНЗ №5 м. Коростеня</t>
  </si>
  <si>
    <t>на придбання дитячого майданчика для ДНЗ №10 м. Коростеня</t>
  </si>
  <si>
    <t>на закупівлю холодильника та заміну вікон в урологічному та офтальмологічному відділеннях для Коростенської центральної міської лікарні</t>
  </si>
  <si>
    <t>на придбання кухонних меблів для ДНЗ № 5 Коростенської міської ради</t>
  </si>
  <si>
    <t>на придбання кольорового принтера для централізованої бібліотечної системи Коростенської міської ради</t>
  </si>
  <si>
    <t>на придбання іграшок для ДНЗ №5 м. Коростень</t>
  </si>
  <si>
    <t>на придбання плитки для підлоги для ремонту інфекційного відділення Коростенської ЦМЛ</t>
  </si>
  <si>
    <t>на придбання ноутбука, БФП лазерного та кольорового струменевого принтеру для ГО "Учасники АТО Коростенщини"</t>
  </si>
  <si>
    <t>на придбання ноутбука для ОСББ "Дружний дім"</t>
  </si>
  <si>
    <t>на придбання товарів та матеріалів для проведення ремонтних робіт у приміщенні  ГО "Спілка голів ОСББ "Солідарність"</t>
  </si>
  <si>
    <t>на придбання спортивно-ігрового комплексу для ОСББ "Дружний дім"</t>
  </si>
  <si>
    <t>на придбання вікон та дверей для ОСББ "Супутник 19"</t>
  </si>
  <si>
    <t>на придбання комплекту комп"ютерної техніки з ліцензійним програмним забезпеченням для Нової української школи ЗОШ І-ІІІ ст. №9</t>
  </si>
  <si>
    <t>на придбання медичного обладнання для Новоград-Волинського міськрай ТМО</t>
  </si>
  <si>
    <t>на придбання холодильника в хірургічне відділення для Малинського МРТМО</t>
  </si>
  <si>
    <t>на облаштування кабінету музично-теоретичних дисциплін для Малинської ДШМ</t>
  </si>
  <si>
    <t>на придбання кардіографа для терапевтичного відділення №1 для Малинського МР ТМО</t>
  </si>
  <si>
    <t>на придбання комп"ютерної техніки (ноутбук, проектор, екран, кронштейн для проектора) для Малинської ЗОШ І-ІІІ ст № 6</t>
  </si>
  <si>
    <t>на придбання вхідних дверей та меблів для 1 класу Малинського ЗНВК "Школа-ліцей № 1 ім. Ніни Сосніної" І-ІІІ ст</t>
  </si>
  <si>
    <t>на придбання ковроліну для методичного кабінету Малинського ДНЗ № 4 "Калинонька"</t>
  </si>
  <si>
    <t>на придбання столів та стільців для дітей молодшої групи Малинського центру розвитку дитини "Сонечко"</t>
  </si>
  <si>
    <t xml:space="preserve">на придбання металопластикових вікон для ДНЗ № 6 м. Малин </t>
  </si>
  <si>
    <t>на придбання лінолеуму для ДНЗ № 3 м. Малин</t>
  </si>
  <si>
    <t>на придбання відеопроектора та екрана для ДНЗ № 1 м. Малин</t>
  </si>
  <si>
    <t>на придбання проекційного телевізора Малинській міській дитячій бібліотеці</t>
  </si>
  <si>
    <t>на придбання металокерамічної дошки в кабінет української мови та літератури №28 для Малинської ЗОШ І-ІІІ ст №4</t>
  </si>
  <si>
    <t>на придбання мультимедійного проектора та екрана для Малинської дитячої школи мистецтв</t>
  </si>
  <si>
    <t>на придбання штангеток та сітки волейбольної для Першотравенської ЗОШ І-ІІІ ст.</t>
  </si>
  <si>
    <t>на придбання килимових доріжок в ігрову та спальні кімнати для Скаківського ЗДО "Перлинка"</t>
  </si>
  <si>
    <t>на придбання ноутбука для Бердичівської районної стоматологічної поліклініки</t>
  </si>
  <si>
    <t>придбання посуду в шкільну їдальню для Рейської ЗОШ І-ІІІ ст.</t>
  </si>
  <si>
    <t>на придбання та встановлення металопластикової конструкції в реєстратурі поліклініки для ЦРЛ Бердичівського району</t>
  </si>
  <si>
    <t>на поточний ремонт палат відділення анестезіології та інтенсивної терапії для ЦРЛ Бердичівського району</t>
  </si>
  <si>
    <t>для придбання принтера для Гальчинської ЗОШ І-ІІ ст.- філія Гришковецької гімназії</t>
  </si>
  <si>
    <t>на благоустрій села Старий Солотвин</t>
  </si>
  <si>
    <t>на поточний ремонт водогінної мережі в с. Романівка Романівського району</t>
  </si>
  <si>
    <t>на фінансову підтримку (фінансування участі футбольної команди в обласному чемпіонаті) для Романівської районної спортивної громадської організації "Романівська районна федерація футболу"</t>
  </si>
  <si>
    <t>на капітальний ремонт вхідної групи приміщень комунальної установи Романівської районної ради "Опорний навчальний заклад "Романівська гімназія" по вул. С.Лялевича,5 в смт. Романів Романівського району Житомирської області" для КУ Романівської районної ради  "ОНЗ "Романівська гімназія"</t>
  </si>
  <si>
    <t>на придбання та встановлення  твердопаливного котла для ДНЗ Соболівської сільської ради</t>
  </si>
  <si>
    <t>на придбання ноутбука для Гордіївської сільської ради</t>
  </si>
  <si>
    <t>на придбання сценічних костюмів колективу художньої самодіяльності  с. Велика Козара Великокозарської сільської ради</t>
  </si>
  <si>
    <t>на придбання БФП для Руднє-Іванівської ЗОШ І-ІІІ ст. Ємільчинської районної ради</t>
  </si>
  <si>
    <t>на придбання апарату УВЧ для АЗПСМ с. Миколаївка КНП "ЦПМСД Ємільчинської районної ради"</t>
  </si>
  <si>
    <t>на придбання принтера для Рясненської сільської ради</t>
  </si>
  <si>
    <t>на придбання оргтехніки та меблів  для Варварівської ЗОШ І-ІІІ ст.</t>
  </si>
  <si>
    <t>на придбання 2-х офісних крісел та БФП для Сімаківської ЗОШ І-ІІІ ст.</t>
  </si>
  <si>
    <t>на придбання термостата для Ємільчинської ЦРЛ</t>
  </si>
  <si>
    <t>на придбання освітлювальних приладів для Вересівської ЗОШ І-ІІІ ст.</t>
  </si>
  <si>
    <t>на придбання футбольної форми для Іванівської ЗОШ І-ІІІ ст</t>
  </si>
  <si>
    <t>на придбання футбольної форми для футбольної команди "Вереси" с. Вереси Вересівської сільської ради</t>
  </si>
  <si>
    <t>на придбання футбольної форми для футбольної команди "Левків" с. Левків  Левківської сільської ради</t>
  </si>
  <si>
    <t>на заміну старих віконних рам на металопластикові для учнів 6 класу (каб.308) для Новогуйвинської гімназії</t>
  </si>
  <si>
    <t>на придбання спортивного та медичного обладнання для КУ "Новогуйвинська комплексна ДЮСШ" Житомирської районної ради</t>
  </si>
  <si>
    <t>на придбання спортивного інвентаря (відділення футболу, дзюдо, греко-римської боротьби та фрі-файту) для КУ "Новогуйвинська комплексна ДЮСШ" Житомирської районної ради</t>
  </si>
  <si>
    <t xml:space="preserve"> на придбання магнітних дошок для початкових класів Вертокиївської ЗОШ І-ІІІ ст.</t>
  </si>
  <si>
    <t xml:space="preserve"> на поточний ремонт  доріжки на кладовищі в с. Сінгури</t>
  </si>
  <si>
    <t>на придбання питних фонтанчиків для Васьковицької середньої  ЗОШ І-ІІІ ст. Коростенського району</t>
  </si>
  <si>
    <t>на придбання будівельних матеріалів для поточного ремонту приміщень КЗ "Коростенська ЦРЛ Коростенської районної ради"</t>
  </si>
  <si>
    <t>на проведення поточного ремонту комунальних доріг для Новаківської сільської ради</t>
  </si>
  <si>
    <t xml:space="preserve">на придбання меблів для Васьковицької СЗОШ І-ІІІ ст. </t>
  </si>
  <si>
    <t xml:space="preserve">на монтаж системи пожежної сигналізації, системи оповіщування про пожежу та управління евакуацією людей і системи передавання тривожних сповіщень у приміщенні Веселівського ДНЗ </t>
  </si>
  <si>
    <t>на придбання посуду для Малозубівщинського ДНЗ Коростенського району</t>
  </si>
  <si>
    <t>на придбання мікрофонів для Холосненської СЗШ І-ІІІ ст Коростенського району</t>
  </si>
  <si>
    <t>на придбання меблів, лінолеуму, кондиціонерів для територіального центру соціального обслуговування (надання соціальних послуг) Коростишівського району</t>
  </si>
  <si>
    <t>на капітальний ремонт водонапірної башти на території Стрижівського старостинського округу</t>
  </si>
  <si>
    <t>на придбання ЕКГ апарату для АЗПСМ с.Кропивня КНП "ЦПМСД" Коростишівської районної ради</t>
  </si>
  <si>
    <t>на придбання матеріалів для ремонту в стаціонарному корпусі №2 для Коростишівської ЦРЛ ім. Д.І. Потєхіна</t>
  </si>
  <si>
    <t xml:space="preserve"> на придбання  ноутбука та музичних інструментів для Лугинської музичної школи</t>
  </si>
  <si>
    <t>на придбання та встановлення металопластикових віконних блоків для відділення анестезіології та інтенсивної терапії та операційної хірургічного відділення Лугинської ЦРЛ</t>
  </si>
  <si>
    <t>на встановлення енергозберігаючих вікон та дверей в адміністративному приміщенні для територіального центру соціального обслуговування(надання соціальних послуг) Лугинського району</t>
  </si>
  <si>
    <t>на придбання холодильника для їдальні Літківському НВК "ЗНЗ І-ІІ ст. -ДНЗ"</t>
  </si>
  <si>
    <t>на придбання лікарських засобів та виробів медичного призначення для Лугинської ЦРЛ</t>
  </si>
  <si>
    <t>на придбання матеріалів для проведення поточного ремонту Любарської ЦРЛ</t>
  </si>
  <si>
    <t>на придбання демонстраційного столу в кабінет хімії  для Стрижівської ЗОШ І-ІІІ ст.</t>
  </si>
  <si>
    <t>на придбання стельових обігрівачів ЗДО "Світлячок"  с. Нова Чортория</t>
  </si>
  <si>
    <t>на придбання меблів  для Новочорторийської АЗПСМ КНП "Любарський ЦПМСД"</t>
  </si>
  <si>
    <t>на придбання шкільних меблів, класної дошки ,бойлера для Владівського НВК "ДНЗ-ЗНЗ І-ІІ ст." Малинського району</t>
  </si>
  <si>
    <t>на заміну вікон для Малинівського НВК"ДНЗ-ЗНЗ" І-ІІІ ст. Малинського району</t>
  </si>
  <si>
    <t>на поточний ремонт стелі Будинку культури с. Скурати</t>
  </si>
  <si>
    <t>на придбання акустичної системи для Будинку культури с. Рутвянка</t>
  </si>
  <si>
    <t>на придбання бензокоси (4000) та оплати послуг інтернету (2000) для Ксаверівського НВК "ДНЗ-ЗНЗ І-ІІ ст."</t>
  </si>
  <si>
    <t>на придбання гімнастичних матів для Ворсівського НВК ДНЗ-ЗНЗ І-ІІ ст</t>
  </si>
  <si>
    <t>на придбання ноутбука, проектора, екрана для проектора в ДНЗ "Дзвіночок" смт Гранітне</t>
  </si>
  <si>
    <t>на придбання електронної методичної літератури для Малинівського НВК "ДНЗ-ЗНЗ І-ІІІ ст."</t>
  </si>
  <si>
    <t>на придбання учнівських парт та стільців, стільців для вчителів для Слобідської ЗОШ І-ІІІ ст</t>
  </si>
  <si>
    <t>на придбання дитячої постільної білизни,махрових рушників, коркової дошки, спортивного інвентарю, електричних ваг для Недашківського  НВК "ДНЗ- ЗНЗ І-ІІІ ст"</t>
  </si>
  <si>
    <t>на придбання навчально-методичних стендів та матеріалів для Нововороб"ївського НВК "ДНЗ-ЗНЗ І-ІІІ ст"</t>
  </si>
  <si>
    <t>на підключення провідного інтернету в класну кімнату школи для Українківської ЗОШ І-ІІІ ст</t>
  </si>
  <si>
    <t>на придбання та встановлення пластикових вікон Владівському НВК "ДНЗ-ЗНЗ І-ІІ ст"</t>
  </si>
  <si>
    <t>на придбання дитячої постільної білизни,посуду, спортивного інвентарю, розвиваючих ігор молодшій групі Малинівського НВК "ДНЗ-ЗНЗ І-ІІІ ст."</t>
  </si>
  <si>
    <t>на придбання електрокабелю АВБШВ для Гульського ЗДО "Веселка"</t>
  </si>
  <si>
    <t>на придбання ноутбука для Великогорбашівської ЗОШ І-ІІ ст.</t>
  </si>
  <si>
    <t>на придбання музичної акустичної системи для Івашківської ЗОШ І-ІІ ст.</t>
  </si>
  <si>
    <t>на придбання стільців для їдальні для Стрієвської ЗОШ І-ІІ ст.</t>
  </si>
  <si>
    <t>на придбання  лінолеуму в кабінет географії Ярунської ЗОШ І-ІІІ ст.</t>
  </si>
  <si>
    <t>на придбання ноутбука Великомолодьківському ДНЗ "Сонечко"</t>
  </si>
  <si>
    <t>на поточний ремонт пандуса, сходинок та підлоги коридору Лебедівського відділення стаціонарного догляду для постійного або тимчасового проживання для Територіального центру соціального обслуговування (надання соціальних послуг) Новоград-Волинського району</t>
  </si>
  <si>
    <t>на придбання комп"ютерної техніки  для Гладковицької ЗОШ І-ІІІ ст.</t>
  </si>
  <si>
    <t>на придбання дитячих меблів для начвльного Бігунського ДНЗ Овруцької районної ради</t>
  </si>
  <si>
    <t>на придбання  двох шаф для зберігання медикаментів у протишоковій палаті та 3-хкнижних шаф для бухгалтерії для Попільнянської ЦРЛ</t>
  </si>
  <si>
    <t>на придбання та встановлення кондиціонера в кабінеті отоларинголога для Попільнянської ЦРЛ</t>
  </si>
  <si>
    <t>на придбання книжкових шаф для облаштування класних кімнат для Кам"янської ЗОШ І-ІІ ст.</t>
  </si>
  <si>
    <t>на придбання класних дошок в кабінети для Паволоцької ЗОШ І-ІІІ ст.</t>
  </si>
  <si>
    <t>на придбання та встановлення дверей у будівлі Центру дозвілля с. Красногірка</t>
  </si>
  <si>
    <t>на поточний ремонт вуличного освітлення в с. Паволоч та с. Соколів Брід</t>
  </si>
  <si>
    <t>на придбання та встановлення системи зворотнього осмосу для очищення води для Кам"янської ЗОШ І-ІІ ст. Попільнянського району</t>
  </si>
  <si>
    <t>на придбання металопластикових вікон для Попільнянської ЦРЛ</t>
  </si>
  <si>
    <t>на проведення поточного ремонту дорожного покриття по вул. Садовій у с. Бухалівщина</t>
  </si>
  <si>
    <t>на придбання господарських товарів для Ружинської РЦЛ</t>
  </si>
  <si>
    <t>на придбання вуличних спортивних тренажерів та дитячої гірки для дитячого майданчика для  Новочорнорудської сільської ради</t>
  </si>
  <si>
    <t>на проведення заходів для підвезення команд до місць змагань для Ружинської ДЮСШ</t>
  </si>
  <si>
    <t>на придбання нових шин до службового автомобіля марки  ГАЗ 3110 для  Територіального центру соціального обслуговування (надання соціальних послуг) Ружинського району</t>
  </si>
  <si>
    <t>на придбання металопластикових енергозберігаючих вікон (відливи, підвіконня, антимоскітні сітки) для ФАП с. Мовчанівка  КНП «ЦПМСД» Ружинської районної ради</t>
  </si>
  <si>
    <t xml:space="preserve">на придбання багатофункціонального пристрою для Топорівської ЗОШ  І-ІІІ ст. </t>
  </si>
  <si>
    <t xml:space="preserve">на придбання бензопили (6100) та кольорового принтера (3200)  для Мовчанівської ЗОШ І-ІІІ ст. </t>
  </si>
  <si>
    <t>на придбання фарби для ремонту спортзалу (3500) та бензопили  (14000) для Чорнорудської ЗОШ І-ІІІ ст.</t>
  </si>
  <si>
    <t>на придбання проектора для Верхівнянської ЗОШ І-ІІІ ст.</t>
  </si>
  <si>
    <t>на придбання електричної плити  в ДНЗ « Сонечко» для Огіївської сільської ради</t>
  </si>
  <si>
    <t>на придбання бензопили для  Ружинського КРЕП</t>
  </si>
  <si>
    <t>на придбання музичної апаратури для Павлівського будинку культури</t>
  </si>
  <si>
    <t>на придбання пластикових відливів на вікна для спортивної зали Черняхівської ЗОШ І-ІІІ ст.</t>
  </si>
  <si>
    <t>на придбання дверей в приміщенні АЗПСМ смт Черняхів для КНП "ЦПМСД"</t>
  </si>
  <si>
    <t>на придбання ударної установки для  ПСМНЗ Черняхівська музична школа</t>
  </si>
  <si>
    <t>на придбання  проектора та переносного екрана для Черняхівського ЗДО №5</t>
  </si>
  <si>
    <t>на придбання електром"ясорубки побутової для дошкільного закладу № 1 смт. Черняхова</t>
  </si>
  <si>
    <t>на придбання ноутбука (10800,00 грн.) та стола однотумбового (1680,00 грн.) для Черняхівської гімназії</t>
  </si>
  <si>
    <t>на придбання тканини для пошиття концертних костюмів для КПНЗ "Черняхівський Будинок дитячої та юнацької творчості" Черняхівської районної ради</t>
  </si>
  <si>
    <t>на придбання будівельних матеріалів (20000,00 грн.) та придбання електротоварів (6000,00 грн.) для Селянщинського спортивного ліцею</t>
  </si>
  <si>
    <t>на придбання шин до коліс автобуса (13500,00 грн.) та на придбання акумулятора (4700,00 грн.) для Селянщинського спортивного ліцею</t>
  </si>
  <si>
    <t>на придбання парт та стільців для Головинскої гімназії</t>
  </si>
  <si>
    <t>на придбання медалей та кубків для методичного кабінету відділу освіти Черняхівської РДА</t>
  </si>
  <si>
    <t>на придбання грамот, дипломів, почесних грамот, подяк для методичного кабінету відділу освіти Черняхівської РДА</t>
  </si>
  <si>
    <t>на придбання опромінювача бактерицидного та пеленального столика для ФП с. Свидя</t>
  </si>
  <si>
    <t>на придбання багатофункціонального телевізора для навчально-виховного процесу Черняхівської гімназії</t>
  </si>
  <si>
    <t>на придбання акустичної колонки для сільського будинку культури с. Жадьки</t>
  </si>
  <si>
    <t>на придбання штор, ваз (2 шт.), коврової доріжки для будинку культури с. Сали</t>
  </si>
  <si>
    <t>на придбання музичного центру для сільського клубу с. Нові Сали</t>
  </si>
  <si>
    <t>на придбання ноутбуку для Салівської сільської ради</t>
  </si>
  <si>
    <t>на придбання морозильної камери для їдальні Селецької ЗОШ І-ІІ ст.</t>
  </si>
  <si>
    <t>на придбання морозильної камери для Видиборського ліцею інформаційних технологій</t>
  </si>
  <si>
    <t>на придбання шкільних меблів (стінка для навчально дидактичних матеріалів) для Видиборського ліцею інформаційних технологій</t>
  </si>
  <si>
    <t>на придбання шлангу поливного, крану, шлангу гнучкого, серцевин замка, замків навісних для ЗОШ І-ІІІ ст. с. Андріїв</t>
  </si>
  <si>
    <t>на придбання телевізора для кабінету української мови для Головинської гімназії</t>
  </si>
  <si>
    <t>на придбання посуду для шкільної їдальні Горбулівської ЗОШ І-ІІІ ст.</t>
  </si>
  <si>
    <t>на придбання посуду для  їдальні Жадьківського колегіуму</t>
  </si>
  <si>
    <t>на придбання учнівських столів та стільців для Бежівської ЗОШ І-ІІ с.</t>
  </si>
  <si>
    <t>на придбання посуду для Дівочківської ЗОШ І-ІІ ст.</t>
  </si>
  <si>
    <t>на придбання бактерицидного опромінювача (5000) та придбаня постільної білизни (4000) для педіатричного відділення Черняхівського  ТМО</t>
  </si>
  <si>
    <t>на придбання електричної ланцюгової пилки для Трощанської ЗОШ І-ІІІ ст. Чуднівської районної ради</t>
  </si>
  <si>
    <t>на зміцнення матеріально-технічної бази для КП Чуднівський спортивно -оздоровчий табір "Корчагінець"</t>
  </si>
  <si>
    <t>на придбання холодильника у ДНЗ "Сонечко" Трощанської сільської ради</t>
  </si>
  <si>
    <t>на покриття для сцени сільського Будинку культури Трощанської сільської ради</t>
  </si>
  <si>
    <t>на проведення ремонту реанімаційної зали та палат інтенсивної терапії у реанімаційному відділенні Чуднівської ЦРЛ</t>
  </si>
  <si>
    <t>на придбання  та встановлення вікон для Волосівського ДНЗ "Сонечко"</t>
  </si>
  <si>
    <t>на придбання електроприладів в шкільний харчоблок (мікрохвильова піч, електром"ясорубка, блендер, електрочайник) для Великокоровинецької ЗОШ І-ІІІ ст. Чуднівської районної ради</t>
  </si>
  <si>
    <t>на придбання та встановлення кондиціонера та пластикового вікна у кабінет ультразвукової діагностики для Чуднівськуої ЦРЛ</t>
  </si>
  <si>
    <t xml:space="preserve">на придбання двох мікрофонів з підставками для Дідковецької ЗОШ І-ІІІ ст. </t>
  </si>
  <si>
    <t>на придбання ноутбука для Чуднівської ЦРЛ</t>
  </si>
  <si>
    <t>на придбання телевізора та кріплення до нього у кабінет іноземної мови №225 для КЗ "Чуднівський ліцей"</t>
  </si>
  <si>
    <t xml:space="preserve">на придбання телевізора та кріплення до нього у кабінет 1 класу Вільшанської ЗОШ І-ІІІ ст. </t>
  </si>
  <si>
    <t>на придбання пральної машини автомат для Красносільського ДНЗ "Берізка"</t>
  </si>
  <si>
    <t>на придбання кардіомонітору для Чуднівської ЦРЛ</t>
  </si>
  <si>
    <t>на придбання бензину для Територіального центру соціального обслуговування (надання соціальних послуг) Чуднівської РДА</t>
  </si>
  <si>
    <t>на придбання металопластикових дверей та кабінок для шкільного туалету корпусу молодших класів Високівської гімназії</t>
  </si>
  <si>
    <t>на придбання  спортивного обладнання та інвентаря для ЗОШ І-ІІІ ст. с. Вишевичі та с. Ірша Межиріцького та Вепринського НВЗ та дитячого садка с. Вишевичі</t>
  </si>
  <si>
    <t>на придбання двох пикфуометрів для КНП "Вишевицька АЗПСМ"</t>
  </si>
  <si>
    <t>на співфінансування проекту по об"єкту "Капітальний ремонт приміщень санвузлів Іршанського НВК "Гімназія- ДНЗ" по вул.Шевченка,20 смт.Іршанськ Хорошівського району Житомирської області" для  Іршанського НВК "Гімназія-ДНЗ"</t>
  </si>
  <si>
    <t>на придбання світильників та їх встановлення у Небізькому  будинку культури</t>
  </si>
  <si>
    <t>на придбання металевих конструкцій по заміні огорожі  для Новоборівського ЗНЗ І-ІІІ ст.-ліцею</t>
  </si>
  <si>
    <t>на придбання матеріалів та на проведення будівельно-ремонтних робіт з відновлення огорожі шкільного стадіону для Новоборівської гімназії</t>
  </si>
  <si>
    <t>на придбання твердопаливного котла, апаратури керування для нього та димовивідної труби для Потіївської амбулаторії сільської медицини</t>
  </si>
  <si>
    <t>на поповнення книжково-бібліотечного фонду для Корнинської селищної бібліотеки</t>
  </si>
  <si>
    <t xml:space="preserve">на придбання кілець на копання колодязя та придбання обладнання водовідведення в Турбівську філію І-ІІ ст. ОНЗ "Корнинський НВК "ЗОШ І ст.-гімназія" </t>
  </si>
  <si>
    <t>на придбання електроплити в шкільну їдальню Корнинської філії І-ІІ ст. ОНЗ "Корнинський НВК "ЗОШ І ст.-гімназія"</t>
  </si>
  <si>
    <t>на придбання електропроводки в Турбівській філії І-ІІ ст. ОНЗ "Корнинський НВК "ЗОШ І ст.-гімназія"</t>
  </si>
  <si>
    <t>на придбання холодильника в Корнинську філію І-ІІ ст. ОНЗ "Корнинський НВК "ЗОШ І ст.-гімназія"</t>
  </si>
  <si>
    <t>на придбання  міжкімнатних дверей  для ДНЗ "Струмочок"</t>
  </si>
  <si>
    <t>на придбання  міжкімнатних дверей та коврового покриття  для ДНЗ "Веселка"</t>
  </si>
  <si>
    <t>на придбання  мікрофонів, шнурів мікрофонних та стійок мікрофонних для Рогачівського будинку культури</t>
  </si>
  <si>
    <t xml:space="preserve">на придбання стартового станка (легка атлетика) для Баранівської ДЮСШ </t>
  </si>
  <si>
    <t>на придбання комп"ютерної техніки та БФП для Баранівської комунальної ЦРЛ</t>
  </si>
  <si>
    <t>на покращення матеріально-технічної бази та програмного забезпечення для КНП "Центр ПМСД" Баранівської міської ради</t>
  </si>
  <si>
    <t>на придбання жарової шафи для Баранівської ЗОШ І-ІІІ ст. № 2 ім. О. Сябрук</t>
  </si>
  <si>
    <t>на придбання аптечок першої медичної допомоги для закладів освіти Баранівської міської ради</t>
  </si>
  <si>
    <t>на покращення матеріально-технічної бази Баранівської школи мистецтв</t>
  </si>
  <si>
    <t xml:space="preserve">на придбання шкільних меблів для 8-А класу Коростишівській ЗОШ І-ІІІ ст. №3 </t>
  </si>
  <si>
    <t>на придбання меблів для Коростишівської публічної бібліотеки</t>
  </si>
  <si>
    <t>на придбання меблів, обладнання (комбінованого верстату) та інвентаря у шкільну майстерню для Коростишівської ЗОШ  І-ІІІ ст. №3</t>
  </si>
  <si>
    <t>на придбання сценічних костюмів для Олевської ЗОШ І-ІІІ ст. №3</t>
  </si>
  <si>
    <t>на придбання мультимедійного обладнання (проектора та екрана) для Олевської ЗОШ І-ІІІ ст. №2</t>
  </si>
  <si>
    <t>на придбання спортивного обладнання і покриття підлоги розвивально-ігрової кімнати для Варварівської ЗОШ І-ІІІ ст.</t>
  </si>
  <si>
    <t>на придбання комплекту військово-спортивної форми для Лопатицької ЗОШ І-ІІІ ст.</t>
  </si>
  <si>
    <t>на придбання принтера для ДНЗ №32 с. Хмелівка</t>
  </si>
  <si>
    <t>на придбання кухонної витяжки для ДНЗ №35 "Пролісок" с. Юрове</t>
  </si>
  <si>
    <t>на придбання ноутбука для ДНЗ с. Покровське</t>
  </si>
  <si>
    <t>на придбання сценічних костюмів для будинку культури с. Покровське</t>
  </si>
  <si>
    <t>на придбання ноутбука для Олевського центру художньо-естетичної творчості учнівської молоді</t>
  </si>
  <si>
    <t xml:space="preserve">на придбання комплектів постільної білизни для ДНЗ с. Сущани </t>
  </si>
  <si>
    <t>на проведення поточного ремонту вул. Залізнична, Олени Пчілки, Тютюнника м. Олевськ</t>
  </si>
  <si>
    <t>на проведення поточного ремонту пологового відділення КУ "Олевська центральна лікарня"</t>
  </si>
  <si>
    <t>на придбання ролетів (рулонних штор) на 6 вікон 1-А та 2-А класів Олевської ЗОШ І-ІІІ ст. №2</t>
  </si>
  <si>
    <t>на завершення капітального ремонту сестринської та палат хірургічного відділення КУ "Олевська ЦЛ" Олевської міської ради</t>
  </si>
  <si>
    <t>на капітальний ремонт даху приміщень хірургічного відділення поліклініки КУ "Олевська ЦЛ" Олевської міської ради</t>
  </si>
  <si>
    <t>на придбання для класів інформатики двох ноутбуків для Журжевицької ЗОШ І-ІІ ст.</t>
  </si>
  <si>
    <t>на придбання ноутбука для молодших класів Стовпинської ЗОШ І-ІІ ст.</t>
  </si>
  <si>
    <t>на придбання іграшок для ЗДО №23 "Малятко" с. Зубковичі</t>
  </si>
  <si>
    <t>на придбання розвиваючих іграшок для Копищенського ДНЗ</t>
  </si>
  <si>
    <t>на придбання комплекту світлового обладнаня для сцени Олевського центру художньо-естетичної творчості учнівської молоді</t>
  </si>
  <si>
    <t>на придбання LED проектора та екрана з підставкою для Городницького ДНЗ №1 "Калинонька"</t>
  </si>
  <si>
    <t>на придбання іграшок ясельній групі для дитячого садочка "Сонечко" смт. Лугини</t>
  </si>
  <si>
    <t>на придбання дитячого майданчика для Путиловицького НВК "школа-дитячий садок"</t>
  </si>
  <si>
    <t>на проведення заходів по благоустрою с.Степанівка</t>
  </si>
  <si>
    <t>на придбання деззасобів та медикаментів для надання невідкладної допомоги для КНП "Лугинський ЦПМСД" Лугинської селищної ради</t>
  </si>
  <si>
    <t>на заміну вхідних дверей та дверей запасного виходу для КУ ТЦСО (надання соціальних послуг)</t>
  </si>
  <si>
    <t>на придбання газової плити для КУ "Миропільська ЗОШ І-ІІІ ст."</t>
  </si>
  <si>
    <t>на придбання меблів в кабінет математики для Попільнянського ліцею</t>
  </si>
  <si>
    <t>на придбання стендів та розвивальних ігор для Саверецької філії І-ІІ ст. Попільнянського ліцею</t>
  </si>
  <si>
    <t>на придбання гранітних плит з надписами та гранітних підставок до них (3шт.) для встановлення біля обеліску Слави воїнам-прикордонникам в с. Голуб"ятин</t>
  </si>
  <si>
    <t>на придбання пральної машини для  КНП "Попільнянський ЦПМСД" Попільнянської  селищної ради</t>
  </si>
  <si>
    <t>на придбання та встановлення системи очистки води для Парипськоїї філії І-ІІ ст. Попільнянського ліцею</t>
  </si>
  <si>
    <t>на придбання металопластикових вікон для відділення соціально -медичних послуг для КУ "Центр соціальних послуг Попільнянської селищної ради"</t>
  </si>
  <si>
    <t>на придбання жалюзі та двох дверей у хімічний кабінет для Попільнянської ЗОШ І-ІІІ ст.№2</t>
  </si>
  <si>
    <t>на придбання спортивного інвентаря для Миролюбівської філії І-ІІ ст. Попільнянського ліцею</t>
  </si>
  <si>
    <t xml:space="preserve"> на придбання матеріалів, ліхтарів, ламп для встановлення вуличного освітлення вул. Паркова в смт. Хорошів</t>
  </si>
  <si>
    <t>на придбання матеріалів та встановлення відливів у Грушківському сільському будинку культури с. Грушки для Грушківського старостинського округу</t>
  </si>
  <si>
    <t>на поточний ремонт Грушківського сільському будинку культури с. Грушки для Грушківського старостинського округу</t>
  </si>
  <si>
    <t>на придбання світильників в читальний зал Грушківської сільської бібліотеки  для Грушківського старостинського округу</t>
  </si>
  <si>
    <t>на придбання матеріалів для встановлення відеоспостереження на території смт Хорошів</t>
  </si>
  <si>
    <t>на проведення вуличного освітлення вул. Лесі Українки в с. Дворище</t>
  </si>
  <si>
    <t>на поточний ремонт каналізаційної мережі житлових будинків №13,15,17  по вул. Самоцвітній в смт. Хорошів</t>
  </si>
  <si>
    <t>на придбання вхідних дверей та козирка для музею історії району відділу культури Хорошівської селищної ради</t>
  </si>
  <si>
    <t>на заміну вікон та дверей на металопластикові у місцевому клубі с. Сколобів</t>
  </si>
  <si>
    <t>на придбання меблів, ноутбука, автозапчастин, мастил, стендів,електро та господарських товарів, каналізаційних труб для Чоповицького ЗНВК "гімназія- ЗНЗ І-ІІІ ст.-ДНЗ"</t>
  </si>
  <si>
    <t>на придбання ноутбука для Йосипівського НВК "ДНЗ-ЗНЗ І-ІІ ст "</t>
  </si>
  <si>
    <t>на придбання спортивного інвентарю навчальної та художньої літератури Йосипівського НВК "ДНЗ-ЗНЗ І-ІІ ст "</t>
  </si>
  <si>
    <t>на придбання столів для їдальні (10шт.) та класної дошки для 1 класу для Василівської філії І-ІІ ст. імені М.М. Глови Андрушківського ліцею</t>
  </si>
  <si>
    <t>на поточний ремонт дитячого садочка "Сонечко" с. Бараші</t>
  </si>
  <si>
    <t>на придбання будівельних матеріалів для облаштування пічного опалення в приміщення ФАПу с. Ганнопіль</t>
  </si>
  <si>
    <t xml:space="preserve"> на поточний ремонт  Новобілокоровицької ЗОШ І-ІІІ ст. №3</t>
  </si>
  <si>
    <t>на придбання дитячого майданчика для ДНЗ с. Ксаверівка</t>
  </si>
  <si>
    <t>на придбання листів харчової нержавіючої сталі для дитячих садочків: с. Вільськ, с. Ксаверівки, с. Новопіль</t>
  </si>
  <si>
    <t>на придбання шнурових мікрофонів та мікшерного пульта для Вільської ЗОШ І-ІІІ ст</t>
  </si>
  <si>
    <t>на придбання морозильної камери (7085) та печі електричної (2135) для Новопільсько ЗОШ І-ІІІ ст</t>
  </si>
  <si>
    <t>на поповнення книжково-бібліотечного фонду для сільської бібліотеки с. Квітневе</t>
  </si>
  <si>
    <t>на придбання холодильника для Романівської ЗОШ І-ІІІ ст. ім.М. Рильського</t>
  </si>
  <si>
    <t>на придбання та встановлення вікон в адмінприміщенні Квітневої сільської ради в с. Ставище по вул. Миру,16</t>
  </si>
  <si>
    <t>на придбання ноутбука та акустичної системи (колонки) для ОНЗ "Квітнева ЗОШ І-ІІІ ст."</t>
  </si>
  <si>
    <t>на поповнення  бібліотечного фонду ОНЗ "Квітнева ЗОШ І-ІІІ ст." словниками іноземної мови</t>
  </si>
  <si>
    <t>на проведення ремонтних робіт (заміна вікон)  для Молочківської ЗОШ І-ІІ ст. Краснопільської сільської ради</t>
  </si>
  <si>
    <t>на заміну вікон  для Носівської  ЗОШ І-ІІІ ст. Краснопільської сільської ради</t>
  </si>
  <si>
    <t>на придбання дитячих меблів для Семенівського ДНЗ "Дзвіночок"</t>
  </si>
  <si>
    <t>на придбання ноутбука та принтера (14000) для бібліотеки та на придбання бензокоси (2500) для прибирання території сіл Терехове та Кикишівка для Семенівської сільської ради</t>
  </si>
  <si>
    <t>на придбання твердопаливного котла для клуба с. Дубівка Красівського старостинського округу</t>
  </si>
  <si>
    <t xml:space="preserve">на придбання спортивного інвентаря для Терехівської  ЗОШ І-ІІ ст. </t>
  </si>
  <si>
    <t>на придбання килимового покриття для ігрової кімнати Іванковецького ДНЗ "Журавлик"</t>
  </si>
  <si>
    <t>на придбання пральної машини Красівського ДНЗ "Казка"</t>
  </si>
  <si>
    <t>на придбання шаф для одягу для учнів початкових  класів Хажинської ЗОШ І-ІІІ ст.</t>
  </si>
  <si>
    <t xml:space="preserve"> на придбання та встановлення металопластикових вікон для приміщення шкільної майстерні Великонизгірецькій ЗОШ І-ІІІ ст.</t>
  </si>
  <si>
    <t xml:space="preserve"> на придбання килимового покриття Великонизгірецькій ЗОШ І-ІІІ ст.</t>
  </si>
  <si>
    <t>на придбання ноутбуків для закладів загальної середньої освіти для відділу освіти, молоді і спорту Ушомирської сільської ради</t>
  </si>
  <si>
    <t>на придбання телевізора для Малоцвілянського ЗДО</t>
  </si>
  <si>
    <t>на придбання дошок аудиторних для ЗЗСО Чижівської ОТГ (с. Чижівка, с.Таращанка, с.Красилівка, с. Курчиця,, с. Курчицька Гута)</t>
  </si>
  <si>
    <t>на придбання бойлера у шкільну їдальню для Чижівської ЗОШ І-ІІІ ст.</t>
  </si>
  <si>
    <t>на придбання інтерактивного комплекту, БФП, фліпчарту, динамічних мікрофонів для Середівської ЗЗСО І-ІІІ ст.</t>
  </si>
  <si>
    <t>на придбання активної акустичної системи, радіосистеми, антени, модему та роутеру для Малоглумчанської ЗЗСО І-ІІІ ст.</t>
  </si>
  <si>
    <t>на придбання проектору, системного блоку, дитячого журнального столика для Березниківської ЗЗСО І-ІІІ ст.</t>
  </si>
  <si>
    <t>на придбання спортивної форми для шкільної футбольної команди для Кулішівської ЗЗСО І-ІІІ ст.</t>
  </si>
  <si>
    <t>на придбання спортивного інвентаря для Сергіївської ЗЗСО І-ІІ ст.</t>
  </si>
  <si>
    <t>на придбання БФП та фотоапарата для Тайківської ЗЗСО І-ІІ ст.</t>
  </si>
  <si>
    <t xml:space="preserve"> на придбання мікрофонів та портативної колонки для Великояблунецького старостинського округу</t>
  </si>
  <si>
    <t>на придбання електричної плити  для Привітівського ЗДО "Малятко"</t>
  </si>
  <si>
    <t>на придбання класних дошок та стільців для учительського кабінету для Бичівської ЗОШ І-ІІІ ст.</t>
  </si>
  <si>
    <t>на придбання обладнання для медичного кабінету Липненської ЗОШ І-ІІІ ст.</t>
  </si>
  <si>
    <t>на придбання металопластикових вікон для спортивного залу для Великоволицької ЗОШ І-ІІ ст</t>
  </si>
  <si>
    <t>на придбання  бензокоси для Гізівщинської ЗОШ І-ІІ ст. ім. В.М. Максимчука</t>
  </si>
  <si>
    <t>на придбання  телевізора для Гізівщинської ЗОШ І-ІІ ст. ім. В.М. Максимчука</t>
  </si>
  <si>
    <t>на придбання  класної дошки для 4 класу для Глезненської ЗОШ І-ІІІ ст.</t>
  </si>
  <si>
    <t>на придбання телевізора для 2 класу Гринівецькому НВК "ЗНЗ І-ІІ ст.-ДНЗ"</t>
  </si>
  <si>
    <t>на придбання огорожі  для Великодеревичівського ЗДО (ясла-садок) "Чебурашка"</t>
  </si>
  <si>
    <t>на придбання оргтехніки для Любарського ЗДО</t>
  </si>
  <si>
    <t>на придбання музичного центру для Барвинівської ЗОШ І-ІІІ ст.</t>
  </si>
  <si>
    <t>на придбання посуду у шкільну їдальню Новороманівської ЗОШ І-ІІІ ст.</t>
  </si>
  <si>
    <t>на придбання ноутбука для відділу освіти, сім"ї, молоді та спорту Піщівської сільської ради</t>
  </si>
  <si>
    <t>на придбання спортивного інвентаря для Піщівської ЗОШ І-ІІІ ст.</t>
  </si>
  <si>
    <t>на придбання предметів та матеріалів для Тхоринського ЗДО</t>
  </si>
  <si>
    <t>на придбання та заміну віконних блоків для Можарівської ЗОШ І-ІІІ ст.</t>
  </si>
  <si>
    <t>на придбання матеріалів для проведення поточного ремонту для Словечанського ЗДО</t>
  </si>
  <si>
    <t>на придбання спортивного майданчика для ОНЗ "Словечанська ЗОШ І-ІІІ ст"</t>
  </si>
  <si>
    <t>на придбання комп"ютерної техніки для ОНЗ "Словечанська ЗОШ І-ІІІ ст."</t>
  </si>
  <si>
    <t>на виписку періодичних видань для сільських бібліотек Словечанської сільської ради</t>
  </si>
  <si>
    <t>на оплату послуг по поточному ремонту Словечанського закладу дошкільної освіти</t>
  </si>
  <si>
    <t>на придбання предметів і матеріалів для Тхоринського закладу дошкільної освіти</t>
  </si>
  <si>
    <t>на придбання предметів і матеріалів для благоустрою території Листвинського старостинського округу</t>
  </si>
  <si>
    <t>на придбання дитячих стільців Словечанському ЗДО</t>
  </si>
  <si>
    <t>на придбання спортивної волейбльної форми для учнів Словечанської ОТГ</t>
  </si>
  <si>
    <t>на придбання автоклаву ( стерелізатор паровий СП ГК-100) для Овруцької ЦРЛ</t>
  </si>
  <si>
    <t>на придбання (співфінансування) овочерізки для Овруцької ЦРЛ</t>
  </si>
  <si>
    <t>на закупівлю господарських матеріалів для проведення поточного ремонту приміщення та ремонт ганку ФП с. Дубовий Гай КНП "Овруцький ЦПМСД"</t>
  </si>
  <si>
    <t>на придбання медичного обладнання та ноутбуку для АЗПСМ смт. Першотравневе</t>
  </si>
  <si>
    <t>на закупівлю матеріалів для проведення ремонтів та придбання медичного обладнаннея для покращення матеріально технічної бази для АЗПСМ с. Покалів</t>
  </si>
  <si>
    <t>на проведення ремонту та придбання медичного обладнання для покращення матеріально технічної бази для ФП с. Антоновичі</t>
  </si>
  <si>
    <t>на проведення ремонту та придбання медичного обладнання для покращення матеріально технічної бази для ФАП с. Можари</t>
  </si>
  <si>
    <t>на проведення ремонтів та придбання господарських матеріалів та придбання медичного обладання для покращення матеріально технічної бази для ФП с. Верпа</t>
  </si>
  <si>
    <t>на проведення ремонтів та придбання медичного обладання для покращення матеріально технічної бази для АЗПСМ с. Піщаниця</t>
  </si>
  <si>
    <t>на придбання медичного обладання для покращення матеріально технічної бази для АЗПСМ с. Словечно</t>
  </si>
  <si>
    <t>на придбання ноутбука та постільної білизни для Кирданівської ЗЗОС І-ІІІ ст.</t>
  </si>
  <si>
    <t>на придбання раріоапаратури для Заріччанського будинку культури</t>
  </si>
  <si>
    <t>на благоустрій криниці та прилеглої території в с.Черепинки та на придбання предметів та матеріалів для Черепинського старостинського округу</t>
  </si>
  <si>
    <t>на придбання світильників вуличного освітлення в с.Черепин для Черепинського старостинського округу</t>
  </si>
  <si>
    <t>на передплату періодичних видань газети "Овруцький голос" для структурних підрозділів первинної медицини для КНП "Овруцький ЦПМСД"</t>
  </si>
  <si>
    <t>на придбання та заміну вікон та на придбання господарських матеріалів (лінолеуму)  для ФП с. Черепин  КНП "Овруцький ЦПМСД"</t>
  </si>
  <si>
    <t>на заміну дверей у приміщення діагностичного центру (адмінкорпус) для КНП "Овруцький ЦПМСД"</t>
  </si>
  <si>
    <t>на придбання елемента інклюзивного дитячого майданчика для встановлення в центральному парку м. Овруч</t>
  </si>
  <si>
    <t>на придбання предметів і матеріалів в т.ч. і довгострокового призначення  для Центру дитячої та юнацької творчості Овруцької міської ради</t>
  </si>
  <si>
    <t>на придбання лазерного принтера для Опорного закладу освіти "Покалівський ЗЗСО І-ІІІ ст."</t>
  </si>
  <si>
    <t>на придбання та встановлення віконних блоків для Черепинської філії ОЗО "Овруцький ЗЗСО І-ІІІ ст. №1"</t>
  </si>
  <si>
    <t>на придбання медичного інструментарію та обладнання  для районної поліклініки Овруцької ЦРЛ</t>
  </si>
  <si>
    <t>на придбання іграшок для Овруцького ЗДО №4</t>
  </si>
  <si>
    <t>на придбання вікон для Великофоснянського  будинку культури</t>
  </si>
  <si>
    <t>на заміну віконних металоконструкцій в Піщаницькому будинку культури</t>
  </si>
  <si>
    <t>на придбання та встановлення елементів дитячого інклюзивного майданчика для Овруцької міської ради</t>
  </si>
  <si>
    <t>на придбання енергозберігакючих вікон і дверей для Тетірської ЗОШІ-ІІІ ст. Пулинського району</t>
  </si>
  <si>
    <t>на  придбання незамерзаючої рідини для системи опалення Великолугівського сільського будинку культури</t>
  </si>
  <si>
    <t xml:space="preserve"> на придбання акустичної системи для Новозаводської ЗОШ І-ІІІ ст.</t>
  </si>
  <si>
    <t>на придбання принтера для Мартинівської ЗОШ І-ІІІ ст.</t>
  </si>
  <si>
    <t>на придбання ноутбуків для Андріївської ЗОШ І-ІІІ ст. Пулинського району</t>
  </si>
  <si>
    <t xml:space="preserve"> на придбання мультимедійної дошки для 3 класу Соколівської ЗОШ І-ІІІ ст</t>
  </si>
  <si>
    <t>на придбання телевізора для 4-В класу ОЗЗСО "Пулинська ЗОШ І-ІІІст."</t>
  </si>
  <si>
    <t>на продовження робіт по вуличному освітленню вул. Садова, Лесі Українки, Довженка, Богдана Хмельницького, Бориса Тена, М.Рильського та Польової в смт Пулини.</t>
  </si>
  <si>
    <t>на придбання плазмового телевізора, жалюзі, пластикових стендів, тканини на прапор, юсбі, бруса, лаку, грунтовки, антисептику, сніжки для Івановицької ЗОШ І-ІІІ ст.</t>
  </si>
  <si>
    <t>на придбання класних дошок для Староолександрівської ЗОШ І-ІІ ст.</t>
  </si>
  <si>
    <t>на встановлення трьох комплектів автономної системи освітлення фотоелектричних (сонячних модулів) з опорами на території Пулинської селищної ради</t>
  </si>
  <si>
    <t>на придбання системи відеонагляду та пожежної сигналізації для Вацлавпільської гімназії</t>
  </si>
  <si>
    <t>на придбання пральної машини для КЗ Великорацький ЗДО "Сонечко" Радомишльської міської ради</t>
  </si>
  <si>
    <t>на придбання дитячих подушок (6000) та дитячих матраців (2400) для КЗ ЗДО №7 "Дзвіночок"</t>
  </si>
  <si>
    <t>на проведення поточного ремонту моста в с. Пилиповичі</t>
  </si>
  <si>
    <t>на придбання лінгафонного кабінету для організації навчально-виховного процесу для ОЗНЗ Радомишльської гімназії</t>
  </si>
  <si>
    <t>на придбання бензопили для Кичкирівської ЗОШ І-ІІ ст -філії Радомишльської гімназії</t>
  </si>
  <si>
    <t>на придбання лінолеуму та ОСП для Радомишльської ЗОШ І-ІІІ ст № 5 ім. В.М. Чорновола</t>
  </si>
  <si>
    <t>на придбання телевізора для облаштування палати для терапевтичного відділення Радомишльської ЦРЛ</t>
  </si>
  <si>
    <t>на придбання ноутбука для будинку культури с. Глибочиця</t>
  </si>
  <si>
    <t>на придбання інтерактивної дошки, фліпчарта та світлодіодних світильників для КЗ "Гадзинська гімназія" Глибочицької сільської ради</t>
  </si>
  <si>
    <t>на придбання дитячого ігрового майдачику в с. Некраші для Оліївської сільської ради</t>
  </si>
  <si>
    <t>на ремонт спортивної зали для Коростенського міського колегіуму</t>
  </si>
  <si>
    <t>на придбання лед-лампи, світильників та інших матеріалів для Коростенського міського колегіуму</t>
  </si>
  <si>
    <t>на придбання та встановлення дитячого ігрового майданчика для ОСББ "Надія" за адресою м. Коростень, вул. Коцюбинського, 94.</t>
  </si>
  <si>
    <t>на придбання матеріалів для поточного ремонту покрівлі житлових будинків за адресами: м. Коростень, вул.В.Сосновського, 52, 52-Б, які входять до складу ОСББ "Золоте коло" (код 41695220)"</t>
  </si>
  <si>
    <t>на придбання матеріалів для поточного ремонту покрівлі житлового будинку по вул. Шевченка, 78 А м. Коростень Житомирської області" ОСББ "Ковельський"/код 41683959/</t>
  </si>
  <si>
    <t>на придбання шкільних меблів (стіл офісний двотумбовий,столи однотумбові,стільці,парти для класу змінної висоти) для Коростенської ЗОШ  І-ІІІ ст. № 1  з поглибленим вивченням іноземних мов</t>
  </si>
  <si>
    <t xml:space="preserve">на поточний ремонт даху для АЗПСМ в  с. Пилиповичі Новоград- Волинського району Житомирської області </t>
  </si>
  <si>
    <t>на придбання комплекту офісних меблів та комп'ютера для Ружинського районного будинку культури</t>
  </si>
  <si>
    <t>на виготовлення проекту детального плану території, на якій буде  проводитись реконструкція районного кінотеатру під молодіжний спортивний комплекс та проведення технічного нагляду для Ружинського районного будинку культури</t>
  </si>
  <si>
    <t>на придбання спортивного комплексу «Чарівник» (5279), стола комп'ютерного (4900), комплекта меблів «Лікарня» (2952), холодильника (10200), періодичного видання (1200), дров твердої породи (6000)  для Прибережненського ДНЗ «Золота рибка"</t>
  </si>
  <si>
    <t>на проведення заходів для підвезення команд до місця змагань для Ружинської дитячої-юнацької спортивної школи</t>
  </si>
  <si>
    <t>на придбання кольорового притера для Зарічанської ЗОШ І-ІІ ст. Ружинського району</t>
  </si>
  <si>
    <t xml:space="preserve">на придбання мікрофона та флешок для  Новогуйвинської музичної школи </t>
  </si>
  <si>
    <t>на придбання планшета для КЗ "Районна бібліотека для дітей" с. Левків</t>
  </si>
  <si>
    <t>на придбання оргтехніки (БФП) для КНП "Центр ПМСД" Коростишівської районної ради</t>
  </si>
  <si>
    <t>на придбання енергозберігаючих світлодіодних світильників для Коростишівської гуманітарної гімназії №5 ім. Т.Г.Шевченка</t>
  </si>
  <si>
    <t>на придбання дитячого ігрового комплексу по вул.Грушевського,25 для ОСББ "Коростень-Центральне", м. Коростень</t>
  </si>
  <si>
    <t>на придбання дитячого ігрового комплексу по вул. Князя Ярослава Мудрого 56 для ОСББ "Мудре"</t>
  </si>
  <si>
    <t>на придбання дитячого ігрового комплексу по вул. Сосновського 48 для ОСББ "Сосновського 48"</t>
  </si>
  <si>
    <t>на придбання дитячого ігрового комплексу по вул. Музейна,5 для ОСББ "Дім моєї мрії"</t>
  </si>
  <si>
    <t xml:space="preserve">на придбання господарських, будівельних та інших товарів для Михайлівської СЗШ І-ІІ ст. </t>
  </si>
  <si>
    <t>на придбання ритуального майданчика на кладовище с. Лисівка</t>
  </si>
  <si>
    <t>Придбання ноутбука та комп’ютерного стільця для Райгородоцької амбулаторії</t>
  </si>
  <si>
    <t>Придбання багатофункціонального пристрою (принтер, сканер, ксерокс) для Андріяшівської загальноосвітньої школи І ст. - філії опорного навчального закладу Райгородоцької ЗОШ І-ІІІ ст.</t>
  </si>
  <si>
    <t>Придбання двох велосипедів для Маркушівського ФАПу</t>
  </si>
  <si>
    <t>Облаштування автобусного павільйону в с. Мартинівка</t>
  </si>
  <si>
    <t>Реконструкція вуличного освітлення по вул. Польова, Л. Українки та вул. Революції Гідності в с. Красівка Бердичівського району, Житомирської області</t>
  </si>
  <si>
    <t>Реконструкція вуличного освітлення по вул. Шевченка та вул. Б.Хмельницького в с. Красівка Бердичівського району, Житомирської області</t>
  </si>
  <si>
    <t>Реконструкція вуличного освітлення по вул. Незалежності, Рад, Корольова та по пров. Б.Хмельницького в с. Красівка Бердичівського району, Житомирської області</t>
  </si>
  <si>
    <t>Реконструкція вуличного освітлення села Бондарівка Коростенського району, Житомирської області (коригування)</t>
  </si>
  <si>
    <t>Реконструкція вуличного освітлення в смт. Чоповичі, Малинського району, Житомирської області</t>
  </si>
  <si>
    <t>Реконструкція вуличного освітлення в с. Липляни, Малинського району, Житомирської області</t>
  </si>
  <si>
    <t>Реконструкція вуличного освітлення в с. Барвінки, Малинського району, Житомирської області</t>
  </si>
  <si>
    <t>Капітальний ремонт зовнішнього освітлення вулиць в с. Копище Олевського району Житомирської області</t>
  </si>
  <si>
    <t>Капітальний ремонт мереж зовнішнього освітлення в с. Березянка Ружинського району Житомирської області по вул. Центральна (ліва сторона), вул. Радужна</t>
  </si>
  <si>
    <t>Капітальний ремонт вуличного освітлення с. Кленова Новоград-Волинського району Житомирської області (коригування)</t>
  </si>
  <si>
    <t xml:space="preserve">Капітальний ремонт вуличного освітлення с. Червона Воля Новоград-Волинського району Житомирської області </t>
  </si>
  <si>
    <t>Капітальний ремонт мереж зовнішнього освітлення в с. Хутір-Мокляки, Ємільчинського району Житомирської області</t>
  </si>
  <si>
    <t>Капітальний ремонт мереж зовнішнього освітлення в с. Тайки, Ємільчинського району Житомирської області</t>
  </si>
  <si>
    <t>Капітальний ремонт вуличного освітлення в с.Болотниця, с.Вязівка, с.Латаші,  с.Мотійки, с.Сухарівка Народицького району Житомирської області</t>
  </si>
  <si>
    <t>Незавершений будівництвом дитячий садок, с. Кодня Житомирського району - реконструкція під школу</t>
  </si>
  <si>
    <t>на придбання металопластикових вікон для Любарського районного військового комісаріату</t>
  </si>
  <si>
    <t>на придбання спеціального захищеного одягу пожежного для особового складу 22 державної пожежно-рятувальної частини (смт Хорошів Управління ДСНС України в Жиомирській області)</t>
  </si>
  <si>
    <t>на придбання плазмового телевізора з кріпленням для Чуднівського районного військового комісаріату Житомирської області</t>
  </si>
  <si>
    <t>на поточний ремонт кімнати відпочинку (із заміною вікон) в гуртожитку № 1 ЖНАЕУ</t>
  </si>
  <si>
    <t>на придбання принтерів для Бердичівського відділу поліції ГУНП в Житомирській області</t>
  </si>
  <si>
    <t>на придбання паперу для Департаменту фінансів ОДА</t>
  </si>
  <si>
    <t xml:space="preserve">на придбання кондиціонера для  ТСЦ №1842 м. Бердичів </t>
  </si>
  <si>
    <t xml:space="preserve">на придбання рекламної продукції  для  внутрішнього оздоблення  ТСЦ №1842 м. Бердичів </t>
  </si>
  <si>
    <t>на проведення поточного ремонту навчального корпусу факультету ветеринарної медицини  ЖНАЕУ</t>
  </si>
  <si>
    <t>на придбання ДБЖ  Овруцькій РДА для УПСЗН  Овруцької РДА</t>
  </si>
  <si>
    <t xml:space="preserve"> на встановлення світильників освітлення територій та будівель для Коростенського міськрайвідділу УДСНС України в Житомирській області</t>
  </si>
  <si>
    <t xml:space="preserve">на придбання  електричних конвекторів для для ТСЦ №1842 м. Бердичів </t>
  </si>
  <si>
    <t xml:space="preserve">на придбання  меблів, килимового покриття, дитячих іграшок та інших товарів для облаштувння дитячого куточка для для ТСЦ №1842 м. Бердичів </t>
  </si>
  <si>
    <t>на придбання паливно-мастильних матеріалів, деталей для пожежних автомобілів та форменного одягу для 20-ї державної пожежно-рятувальної частини Коростишівського районного сектору</t>
  </si>
  <si>
    <t>на придбання будівельних матеріалів для часткового ремонту будівлі спорткомплексу   Житомирського державного університету ім. І.Франка</t>
  </si>
  <si>
    <t>на придбання  кондиціонерів для сервісного центру МВС в м.Бердичеві</t>
  </si>
  <si>
    <t>на придбання оргтехніки, БФУ (50,0), запасних частин та проведення технічного обслуговування автомобілів (90,0) для Управління патрульної поліції в області)</t>
  </si>
  <si>
    <t>на придбання автомобіля для відділу розслідування особливо тяжких злочинів ГУНП)</t>
  </si>
  <si>
    <t>на поточний ремонт  5А класу Бердичівському ЗНВК №4</t>
  </si>
  <si>
    <t>на придбання міжкімнатних дверей (7шт.) для Черняхівського ЗДО №1</t>
  </si>
  <si>
    <t>на заміну вікон та дверей для Краснопільського стаціонарного відділення Чуднівського територіального центру соціального обслуговування</t>
  </si>
  <si>
    <t xml:space="preserve">Придбання вуличних  антивандальних спортивних тренажерів для мешканців будинку №5 по  вул. Металістів м. Овруч </t>
  </si>
  <si>
    <t>Гідродинамічне очищення артезіанської свердловини в с.Ігнатпіль</t>
  </si>
  <si>
    <t>на співфінансування придбання шкільного автобуса за програмою "Шкільний автобус"</t>
  </si>
  <si>
    <t>капітальне будівництво амбулаторії монопрактики із службовим житлом для сімейного лікаря в с.Піски</t>
  </si>
  <si>
    <t>будівництво напірного колектора господарсько-побутової каналізації в м.Андрушівка</t>
  </si>
  <si>
    <t>на співфінансування будівництва амбулаторії с.Липне Любарського району</t>
  </si>
  <si>
    <t>на проведення експертизи проекту -60000 грн., на співфінансування інвестиційного проекту регіонального розвитку "Капітальний ремонт районного Будинку культури за адресою: Житомирська обл. м.Малин, вул.Грушевського, 16" у розмірі 30% від загальної вартості проекту -2920128 грн.</t>
  </si>
  <si>
    <t>співфінансування робіт по об"єкту "Коригування робочого проекту по об"єкту: " Олевська гімназія по вул.Інтернаціональна, 34 в м.Олевськ Житомирської області - будівництво" (завершення будівництва)"</t>
  </si>
  <si>
    <t>співфінансування 30% проекту "Капітальний ремонт зовнішнього освітлення вулиць в с.Копище Олевського району Житомирської області"</t>
  </si>
  <si>
    <t>співфінансування об"єкту "Амбулаторія на 1-2 лікаря з житлом по вул. Малікова, 51 б в с.Хочине Олевського району Житомирської області - будівництво"</t>
  </si>
  <si>
    <t>Реконструкція будівлі Житомирського обласного онкологічного диспансеру по вул. Фещенка-Чопівського, 24/4 в м.Житомирі (термосанація)</t>
  </si>
  <si>
    <t>Капітальний ремонт будівлі (термомодернізація) Гришковецької гімназії Бердичівського району, Житомирської області за адресою: Житомирська область, Бердичівський район, смт Гришківці, вул. Червоний промінь, 3 (коригування)</t>
  </si>
  <si>
    <t xml:space="preserve">Субвенція з місцевого бюджету на здійснення переданих видатків у сфері охорони здоров’я за рахунок коштів медичної субвенції, всього </t>
  </si>
  <si>
    <t>цільові видатки на  лікування хворих на цукровий та нецукровий діабет</t>
  </si>
  <si>
    <t>на співфінансування пункту тимчасового базування бригад КУ"Центр екстреної медичної допомоги та медицини катастроф" Житомирської обласної ради в смт Іванопіль</t>
  </si>
  <si>
    <t>видатки, пов"язані із медичним обслуговуванням внутрішньо переміщених осіб</t>
  </si>
  <si>
    <t>на співфінансування проекту будівництва амбулаторії у с.Дубрівка</t>
  </si>
  <si>
    <t xml:space="preserve">на придбання виробів медичного призначення для терапевтичного відділення КУ "Обласна клінічна лікарня ім.О.Ф.Гербачевського" Житомирської обласної ради </t>
  </si>
  <si>
    <t>на співфінансування проекту "Реконструкція вуличного освітлення в с.Барвінки Малинського району Житомирської області"</t>
  </si>
  <si>
    <t xml:space="preserve">на співфінансування проекту "Реконструкція вуличного освітлення в смт Чоповичі Малинського району Житомирської області" </t>
  </si>
  <si>
    <t>30% співфінансування проекту "Капітальний ремонт вуличного освітлення с.Кленова Новоград-Волинського району Житомирської області "</t>
  </si>
  <si>
    <t>30% співфінансування проекту "Капітальний ремонт вуличного освітлення с.Червона Воля Новоград-Волинського району Житомирської області "</t>
  </si>
  <si>
    <t>співфінансування проекту "Технічне переоснащення станції водопідготовки в смт Городниця Новоград-Волинського району Житомирської області"</t>
  </si>
  <si>
    <t>на співфінансування проекту "Реконструкція покрівлі з утепленням фасадів Черняхівської гімназії по вул.Червоноармійська, 14 в смт Черняхів Житомирської області"</t>
  </si>
  <si>
    <t>на співфінансування проекту " Будівництво (амбулаторії ПМД на 1-2 лікаря з житлом) по вул. Зоряній в с. Оліївка, 72а (південний схід с. Сонячне) Житомирського району Житомирської області"</t>
  </si>
  <si>
    <t>Технічне переоснащення станції водопідготовки в смт Городниця Новоград-Волинського району Житомирської області</t>
  </si>
  <si>
    <t xml:space="preserve">на співфінансування проекту "Реконструкція вуличного освітлення в с.Липляни Малинського району Житомирської області" </t>
  </si>
  <si>
    <t>Капітальний ремонт мереж зовнішнього освітлення в с.Хутір-Мокляки Ємільчинського району Житомирської області</t>
  </si>
  <si>
    <t>Капітальний ремонт мереж зовнішнього освітлення в с.Тайки Ємільчинського району Житомирської області</t>
  </si>
  <si>
    <t>на співфінансування будівництва амбулаторії загальної практики сімейної медицини по вул.Миру в с. Соколів Пулинського району</t>
  </si>
  <si>
    <t>Сингаївський сільський бюджет Коростенського району</t>
  </si>
  <si>
    <t>на співфінансування по капітальному ремонту (енергоефективна термосанація) будівлі гімназії в с.Грозине вул.Шкільна,6 Коростенського району Житомирської області</t>
  </si>
  <si>
    <t>Березянський сільський бюджет Ружинського району</t>
  </si>
  <si>
    <t>на співфінансування об"єкта "Капітальний ремонт мереж зовнішнього освітлення в с. Березянка Ружинського району Житомирської області по вул. Центральна (ліва сторона), вул. Радужна"</t>
  </si>
  <si>
    <t>Субвенція з місцевого бюджету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 1 статті 10 Закону України "Про статус ветеранів війни, гарантії їх соціального захисту", для осіб з інвалідністю І-ІІ групи з числа учасників бойових дій на території інших держав, які стали інвалідами внаслідок поранення, контузії, каліцтва або захворювання, пов"язаних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</si>
  <si>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на придбання оснащення для кабінету хімії Ємільчинської ЗОШ І-ІІІ ст № 1</t>
  </si>
  <si>
    <t>Ремонтно-реставраційні роботи по Будівлі Житомирського академічного обласного театру ляльок за адресою: вул. Михайлівська, 7 в м.Житомирі</t>
  </si>
  <si>
    <t>Технічне переоснащення системи опалення АЗПСМ с.Мирославка Бердичівського району</t>
  </si>
  <si>
    <t>Видалення пошкоджених, аварійних дерев, обрізання крон зелених насаджень на прибудинкових територіях, що обслуговує КП "ВЖРЕП № 5" Житомирської міської ради</t>
  </si>
  <si>
    <t xml:space="preserve">Придбання та встановлення металевої альтанки на водному об’єкті за адресою: вул. Миру смт Гришківці Бердичівського району Житомирської області </t>
  </si>
  <si>
    <t>Придбання двох електрокардіографів для Малинського МРТМО</t>
  </si>
  <si>
    <t>Надання грошової допомоги на придбання житла багатодітній сім"ї, переселенці з Донецької області Сорокіній І.М.</t>
  </si>
  <si>
    <t>на придбання спортивного обладнання, бойлерів та фарби для спорткомплексу Житомирського державного університету ім. Івана Франка</t>
  </si>
  <si>
    <t xml:space="preserve">на придбання будівельних матеріалів для ремонту покрівлі навчального корпусу № 4 Житомирського державного університету ім. Івана Франка </t>
  </si>
  <si>
    <t>на придбання корпусних меблів для класної кімнати 1-В класу для Житомирської ЗОСШ І-ІІІ ст. №16</t>
  </si>
  <si>
    <t>на придбання меблів для ЖСЦРД  №41</t>
  </si>
  <si>
    <t>на придбання енергозберігаючих ламп для ЗОШ І-ІІІ ст. №6 ім. В.Г.Короленка м. Житомира</t>
  </si>
  <si>
    <t>на придбання будівельних матеріалів для ремонту інфекційного відділення Бердичівської ЦМЛ</t>
  </si>
  <si>
    <t>на придбання двох принтерів, фліпчарта для НВК "Школа-гімназія-ліцей" №10</t>
  </si>
  <si>
    <t>на придбання килимів закладам дошкільної освіти для управління освіти і науки виконавчого комітету Бердичівської міської ради</t>
  </si>
  <si>
    <t>на придбання телевізора та настінного кріплення з нахилом для Центру розвитку дитини №17 м. Коростень</t>
  </si>
  <si>
    <t>на придбання новорічних ялинкових гірлянд для Палацу культури ім. Тараса Шевченка м. Коростень</t>
  </si>
  <si>
    <t>на придбання, установку та облаштування 5 вікон для ДНЗ №12 м. Коростень</t>
  </si>
  <si>
    <t>на придбання новорічної ялинки, ялинкових прикрас, гірлянд та дитячих іграшок для старшої групи ДНЗ №6 м. Коростень</t>
  </si>
  <si>
    <t>на придбання комплекту меблів для Веселівського ДНЗ Веселівської сільської ради</t>
  </si>
  <si>
    <t>на проведення замірів опору ізоляції і перевірки спрацювання приладів захисту електричних мереж та електроустановок від короткого замикання у Веселівському ДНЗ Веселівської сільської ради</t>
  </si>
  <si>
    <t>на встановлення пожежної сигналізації для Веселівського ДНЗ Веселівської сільської ради</t>
  </si>
  <si>
    <t>на придбання медичного обладнання та ноутбука з дисководом   для ФП с. Стремигород КНП "Коростенський районний центр ПМСД" Коростенськогої районної ради</t>
  </si>
  <si>
    <t>на придбання та доставку скутера (моторолера) для Меленівської сільської ради</t>
  </si>
  <si>
    <t>на придбання та доставку скутера (моторолера) для Ходаківської сільської ради</t>
  </si>
  <si>
    <t>на придбання скутера (моторолера) для Холосненської сільської ради</t>
  </si>
  <si>
    <t>на придбання комп"ютерної техніки для Ружинської гімназії</t>
  </si>
  <si>
    <t>на придбання предметів, матеріалів,обладнання та інвентаря для Ружинської  РЦЛ</t>
  </si>
  <si>
    <t>на придбання сценічного вбрання для будинку культури с. Очеретянка Очеретянської сільської ради</t>
  </si>
  <si>
    <t>на проведення Всеукраїнського патріотичного фестивалю "Олевська республіка"</t>
  </si>
  <si>
    <t>на придбання металопластикових вікон в приміщення початкової школи для класної кімнати 1 класу Великонизгірецької ЗОШ І-ІІІ ст.</t>
  </si>
  <si>
    <t>на виконання робіт та придбання матеріалів для забезпечення освітлення на території Любарського ЗДО</t>
  </si>
  <si>
    <t>на придбання підручників та словника з англійської мови  для Житомирського державного технологічного університету</t>
  </si>
  <si>
    <t>на придбання  комп'ютерного обладнання для Житомирського державного технологічного університету</t>
  </si>
  <si>
    <t>на придбання ноутбука для ННІ іноземної філології Житомирського державного  університету імені Івана Франка</t>
  </si>
  <si>
    <t>на придбання принтера для ННІ іноземної філології Житомирського державного                                                                                  університету імені Івана Франка.</t>
  </si>
  <si>
    <t>на видалення пошкоджених, аварійних дерев, обрізання крон зелених насаджень на прибудинкових територіях, що обслуговує КП "ВЖРЕП №5" Житомирської міської ради</t>
  </si>
  <si>
    <t>на придбання пиломатеріалів соснових обрізних для огорожі кладовища в с. Усолуси</t>
  </si>
  <si>
    <t>на надання грошової допомоги на придбання житла для сім"ї Кравченка Андрія Володимировича жителя с. Колодіївка</t>
  </si>
  <si>
    <t>на придбання та встановлення металевої альтанки на водному об"єкті за адресою: вул Миру, смт Гришківці,  Бердичівського району Житомирської області</t>
  </si>
  <si>
    <t>на придбання матеріалів та обладнання  (придбання енергозберігаючих ламп) для ЦДЮТ</t>
  </si>
  <si>
    <t>на придбання двох металопластикових вікон для Стовпівського будинку культури</t>
  </si>
  <si>
    <t>Реконструкція будівлі Житомирського обласного онкологічного диспансеру по вул. Фещенка-Чопівського, 24/4 в м. Житомирі з прибудовою</t>
  </si>
  <si>
    <t>0717693</t>
  </si>
  <si>
    <t>0717690</t>
  </si>
  <si>
    <t>Субвенція з місцевого бюджету на здійснення переданих видатків у сфері освіти за рахунок коштів освітньої субвенції</t>
  </si>
  <si>
    <t>на придбання обладнання на оснащення ресурсних кімнат (видатки розвитку)</t>
  </si>
  <si>
    <t>на оплату праці педагогічним працівникам шкіл Житомирського району, залучених до занять з учнями, які знаходяться на тривалому лікуванні в протитуберкульозному диспансері (видатки споживання)</t>
  </si>
  <si>
    <t>Програма економічного і соціального розвитку Житомирської області на 2018 рік, рішення обласної ради від 21.12.2017 № 868, від 26.07.2018 № 1139</t>
  </si>
  <si>
    <r>
      <t xml:space="preserve">на співфінансування об"єкта "Капітальний ремонт мереж зовнішнього освітлення в с. Березянка Ружинського району Житомирської області по </t>
    </r>
    <r>
      <rPr>
        <sz val="14"/>
        <color indexed="8"/>
        <rFont val="Times New Roman"/>
        <family val="1"/>
        <charset val="204"/>
      </rPr>
      <t>вул. Шкільна, вул. Центральна (права сторона), вул. Стадіонній"</t>
    </r>
  </si>
  <si>
    <r>
      <t>Будівництво</t>
    </r>
    <r>
      <rPr>
        <i/>
        <vertAlign val="superscript"/>
        <sz val="14"/>
        <color indexed="8"/>
        <rFont val="Times New Roman"/>
        <family val="1"/>
        <charset val="204"/>
      </rPr>
      <t>1</t>
    </r>
    <r>
      <rPr>
        <i/>
        <sz val="14"/>
        <color indexed="8"/>
        <rFont val="Times New Roman"/>
        <family val="1"/>
        <charset val="204"/>
      </rPr>
      <t xml:space="preserve"> споруд, установ та закладів фізичної культури і спорту</t>
    </r>
  </si>
  <si>
    <r>
      <t>Будівництво</t>
    </r>
    <r>
      <rPr>
        <i/>
        <vertAlign val="superscript"/>
        <sz val="8"/>
        <color indexed="8"/>
        <rFont val="Times New Roman"/>
        <family val="1"/>
        <charset val="204"/>
      </rPr>
      <t>1</t>
    </r>
    <r>
      <rPr>
        <i/>
        <sz val="8"/>
        <color indexed="8"/>
        <rFont val="Times New Roman"/>
        <family val="1"/>
        <charset val="204"/>
      </rPr>
      <t xml:space="preserve"> </t>
    </r>
    <r>
      <rPr>
        <i/>
        <sz val="14"/>
        <color indexed="8"/>
        <rFont val="Times New Roman"/>
        <family val="1"/>
        <charset val="204"/>
      </rPr>
      <t>освітніх установ та закладів</t>
    </r>
  </si>
  <si>
    <r>
      <t>Будівництво</t>
    </r>
    <r>
      <rPr>
        <i/>
        <vertAlign val="superscript"/>
        <sz val="12"/>
        <color indexed="8"/>
        <rFont val="Times New Roman"/>
        <family val="1"/>
        <charset val="204"/>
      </rPr>
      <t>1</t>
    </r>
    <r>
      <rPr>
        <i/>
        <sz val="12"/>
        <color indexed="8"/>
        <rFont val="Times New Roman"/>
        <family val="1"/>
        <charset val="204"/>
      </rPr>
      <t xml:space="preserve"> медичних установ та закладів</t>
    </r>
  </si>
  <si>
    <r>
      <t xml:space="preserve">ЗФ Інші субвенції </t>
    </r>
    <r>
      <rPr>
        <b/>
        <sz val="14"/>
        <color indexed="8"/>
        <rFont val="Times New Roman"/>
        <family val="1"/>
        <charset val="204"/>
      </rPr>
      <t>дод</t>
    </r>
    <r>
      <rPr>
        <sz val="14"/>
        <color indexed="8"/>
        <rFont val="Times New Roman"/>
        <family val="1"/>
        <charset val="204"/>
      </rPr>
      <t xml:space="preserve"> усі ГРК</t>
    </r>
  </si>
  <si>
    <r>
      <t xml:space="preserve">СФ Інші субвенції </t>
    </r>
    <r>
      <rPr>
        <b/>
        <sz val="14"/>
        <color indexed="8"/>
        <rFont val="Times New Roman"/>
        <family val="1"/>
        <charset val="204"/>
      </rPr>
      <t>дод</t>
    </r>
    <r>
      <rPr>
        <sz val="14"/>
        <color indexed="8"/>
        <rFont val="Times New Roman"/>
        <family val="1"/>
        <charset val="204"/>
      </rPr>
      <t xml:space="preserve"> усі ГРК</t>
    </r>
  </si>
  <si>
    <t xml:space="preserve"> на придбання товарів та матеріалів для проведення робіт по благоустрою прибудинкової території для ОСББ "Маяковського 107"</t>
  </si>
  <si>
    <t xml:space="preserve"> на придбання товарів та матеріалів для проведення робіт по благоустрою прибудинкової території для ОСББ "Залізничник -74"</t>
  </si>
  <si>
    <t>на придбання предметів, матеріалів, медикаментів  для Лугинської ЦРЛ</t>
  </si>
  <si>
    <t>на встановлення твердопаливного котла для Ігнатпільської сільської ради</t>
  </si>
  <si>
    <t>Капітальний ремонт мереж зовнішнього освітлення в с. Березянка Ружинського району Житомирської області по вул. Шкільна, вул. Центральна (права сторона), вул. Стадіонній</t>
  </si>
  <si>
    <t>Заміна віконних блоків в Рейській загальноосвітній школі І-ІІІ ступенів Бердичівської районної ради за адресою: с. Рея, вул.Миру, 16 Бердичівського району Житомирської області . Капітальний ремонт</t>
  </si>
  <si>
    <t>на придбання дверей та фурнітури для терапевничного  відділення Любарської центральної районної лікарні</t>
  </si>
  <si>
    <t>на придбання сумок- укладок сімейного лікаря для АЗПСМ (Гульська, Киківська, Орепівська, Токарівська,  Великомолодьківська, Ярунська) для КНП "Центр ПМСД Новоград-Волинського району"</t>
  </si>
  <si>
    <t>Придбання та встановлення металопластикових вікон у під"їздах будинку по просп.Миру, 8 у м.Житомирі (для ПП "КП ЖБК №2")</t>
  </si>
  <si>
    <t>на придбання матеріалів стропильної системи та азбестно-цементних хвилястих листів (шиферу) для  поточного ремонту покрівлі Великохайчанської філії ОЗО "Бондарівський заклад загальної середньої освіти І-ІІІ ст. Овруцької міської ради Житомирської області</t>
  </si>
  <si>
    <t>Ремонтно-реставраційні роботи Братської могили воїнів ІІ Зимового походу армії Української Народної Республіки (УНР) (Меморіальний комплекс на честь воїнів УНР,учасників ІІ Зимового походу) за адресою: с.Базар,вул. Героїв Базару, Народицького району Житомирської області (Коригування)</t>
  </si>
  <si>
    <t xml:space="preserve">Реконструкція обласного медичного центру вертебрології і реабілатації за адресою: м. Житомир, вул. Чуднівське шосе, 1 із застосуванням енергозберігаючих технологій </t>
  </si>
  <si>
    <t>Капітальний ремонт вуличного освітлення в населених пунктах: с. Ушомир, с. Березневе, с. Заріччя, с. Ковбащина, с. Пугачівка, с. Рудня-Ушомирська, с. Садибне, с. Сантарка, с.Струмок, с. Гулянка, с. Іванопіль, с. Охотівка, с. Першотравневе, с. Ушиця, селище Броди, селище Нова Ушиця, с.Калинівка, с. Вишневе, с. Красногірка, с. Купище, с. Жабоче, с.Ришавка Ушомирської сільської ради Коростенського району Житомирської області</t>
  </si>
  <si>
    <t>Реконструкція (термомодернізація) Барашівської ЗОШ І-ІІІ ступенів по вул.Героїв Майдану,14 в с.Бараші Ємільчинського району, Житомирської області</t>
  </si>
  <si>
    <t>Коригування робочого проекту по об"єкту "Олевська гімназія по вул.Інтернаціональна, 34 в м.Олевськ Житомирської області - будівництво (завершення будівництва)"</t>
  </si>
  <si>
    <t>Реконструкція будівлі по вул. Київській, 53, м. Коростишів Житомирської області під приміщення для позашкільного навчального закладу</t>
  </si>
  <si>
    <t>Реконструкції (термомодернізації) Андрушківської загальноосвітньої школи І-ІІІ ступенів по вулиці Шкільна 1, в с.Андрушки Попільнянського району Житомирської області</t>
  </si>
  <si>
    <t>Технічне переоснащення із заміною аварійного обладнання КНС у смт Попільні Житомирської області</t>
  </si>
  <si>
    <t>Технічне переоснащення із заміною аварійних блоків аерації аеротенка №1 очисних споруд в смт Гранітне Малинського району Житомирської області</t>
  </si>
  <si>
    <t xml:space="preserve">                                                          С.М. Крамаренко</t>
  </si>
  <si>
    <r>
      <t>Перелік об</t>
    </r>
    <r>
      <rPr>
        <b/>
        <sz val="14"/>
        <color indexed="8"/>
        <rFont val="Arial Cyr"/>
        <charset val="204"/>
      </rPr>
      <t>’</t>
    </r>
    <r>
      <rPr>
        <b/>
        <sz val="14"/>
        <color indexed="8"/>
        <rFont val="Times New Roman"/>
        <family val="1"/>
        <charset val="204"/>
      </rPr>
      <t>єктів, видатки на які у 2018 році будуть проводитися за рахунок коштів бюджету розвитку</t>
    </r>
  </si>
  <si>
    <r>
      <t>Назва об</t>
    </r>
    <r>
      <rPr>
        <b/>
        <sz val="14"/>
        <color indexed="8"/>
        <rFont val="Arial Cyr"/>
        <charset val="204"/>
      </rPr>
      <t>’</t>
    </r>
    <r>
      <rPr>
        <b/>
        <sz val="14"/>
        <color indexed="8"/>
        <rFont val="Times New Roman"/>
        <family val="1"/>
        <charset val="204"/>
      </rPr>
      <t>єктів відповідно до проектно-кошторисної докуменації; тощо</t>
    </r>
  </si>
  <si>
    <r>
      <t>Будівництво</t>
    </r>
    <r>
      <rPr>
        <vertAlign val="superscript"/>
        <sz val="14"/>
        <color indexed="8"/>
        <rFont val="Times New Roman"/>
        <family val="1"/>
        <charset val="204"/>
      </rPr>
      <t>1</t>
    </r>
    <r>
      <rPr>
        <sz val="14"/>
        <color indexed="8"/>
        <rFont val="Times New Roman"/>
        <family val="1"/>
        <charset val="204"/>
      </rPr>
      <t xml:space="preserve"> об'єктів соціально-культурного призначення</t>
    </r>
  </si>
  <si>
    <r>
      <t>Будівництво</t>
    </r>
    <r>
      <rPr>
        <i/>
        <vertAlign val="superscript"/>
        <sz val="14"/>
        <color indexed="8"/>
        <rFont val="Times New Roman"/>
        <family val="1"/>
        <charset val="204"/>
      </rPr>
      <t>1</t>
    </r>
    <r>
      <rPr>
        <i/>
        <sz val="14"/>
        <color indexed="8"/>
        <rFont val="Times New Roman"/>
        <family val="1"/>
        <charset val="204"/>
      </rPr>
      <t xml:space="preserve"> споруд, установ та закладів фізичної культури і спорту</t>
    </r>
  </si>
  <si>
    <t>Реконструкція майнового комплексу КЗ "Житомирський  ліцей-інтернат для обдарованих дітей" Житомирської обласної ради  по вул. Коростишівській, 15 в м. Житомирі - улаштування футбольного поля зі штучним покриттям</t>
  </si>
  <si>
    <r>
      <t>Будівництво</t>
    </r>
    <r>
      <rPr>
        <i/>
        <vertAlign val="superscript"/>
        <sz val="14"/>
        <color indexed="8"/>
        <rFont val="Times New Roman"/>
        <family val="1"/>
        <charset val="204"/>
      </rPr>
      <t>1</t>
    </r>
    <r>
      <rPr>
        <i/>
        <sz val="14"/>
        <color indexed="8"/>
        <rFont val="Times New Roman"/>
        <family val="1"/>
        <charset val="204"/>
      </rPr>
      <t xml:space="preserve"> освітніх установ та закладів</t>
    </r>
  </si>
  <si>
    <t>Реконструкція частини будівлі ЗОШ № 13 під туалет з надбудовою 2 поверху по вул. Селезньова, 101 в м.Коростені (коригування)</t>
  </si>
  <si>
    <t>Реконструкція (ефективна термосанація) в приміщенні Липненської  загальноосвітньої школи  І-ІІІ ступенів с.Липне, Любарського району, Житомирської області (коригування)</t>
  </si>
  <si>
    <r>
      <t xml:space="preserve">Амбулаторія на 1-2 лікаря з житлом по вул. Центральна, 42 у с. </t>
    </r>
    <r>
      <rPr>
        <i/>
        <sz val="14"/>
        <color indexed="8"/>
        <rFont val="Times New Roman"/>
        <family val="1"/>
        <charset val="204"/>
      </rPr>
      <t>Борщів Радомишльського району</t>
    </r>
    <r>
      <rPr>
        <i/>
        <sz val="12"/>
        <color indexed="8"/>
        <rFont val="Times New Roman"/>
        <family val="1"/>
        <charset val="204"/>
      </rPr>
      <t xml:space="preserve"> Житомирської області - будівництво</t>
    </r>
  </si>
  <si>
    <r>
      <t xml:space="preserve">Амбулаторія на 1-2 лікаря з житлом по вул. Шкільна, 1 у с. </t>
    </r>
    <r>
      <rPr>
        <i/>
        <sz val="14"/>
        <color indexed="8"/>
        <rFont val="Times New Roman"/>
        <family val="1"/>
        <charset val="204"/>
      </rPr>
      <t>Нові Вороб"ї Малинського району</t>
    </r>
    <r>
      <rPr>
        <i/>
        <sz val="12"/>
        <color indexed="8"/>
        <rFont val="Times New Roman"/>
        <family val="1"/>
        <charset val="204"/>
      </rPr>
      <t xml:space="preserve"> Житомирської області - будівництво</t>
    </r>
  </si>
  <si>
    <r>
      <t xml:space="preserve">Амбулаторія на 1-2 лікаря з житлом по вул. Центральна, 10 у с. </t>
    </r>
    <r>
      <rPr>
        <i/>
        <sz val="14"/>
        <color indexed="8"/>
        <rFont val="Times New Roman"/>
        <family val="1"/>
        <charset val="204"/>
      </rPr>
      <t xml:space="preserve">Високе Черняхівського району </t>
    </r>
    <r>
      <rPr>
        <i/>
        <sz val="12"/>
        <color indexed="8"/>
        <rFont val="Times New Roman"/>
        <family val="1"/>
        <charset val="204"/>
      </rPr>
      <t>Житомирської області - будівництво</t>
    </r>
  </si>
  <si>
    <r>
      <t xml:space="preserve">Амбулаторія на 1-2 лікаря з житлом по вул. Каштанова, 4-а у с. </t>
    </r>
    <r>
      <rPr>
        <i/>
        <sz val="14"/>
        <color indexed="8"/>
        <rFont val="Times New Roman"/>
        <family val="1"/>
        <charset val="204"/>
      </rPr>
      <t xml:space="preserve">Гришківці Бердичівського району </t>
    </r>
    <r>
      <rPr>
        <i/>
        <sz val="12"/>
        <color indexed="8"/>
        <rFont val="Times New Roman"/>
        <family val="1"/>
        <charset val="204"/>
      </rPr>
      <t>Житомирської області - будівництво</t>
    </r>
  </si>
  <si>
    <r>
      <t>Амбулаторія на 1-2 лікаря з житлом по вул. Миру, 9 у с.</t>
    </r>
    <r>
      <rPr>
        <i/>
        <sz val="14"/>
        <color indexed="8"/>
        <rFont val="Times New Roman"/>
        <family val="1"/>
        <charset val="204"/>
      </rPr>
      <t xml:space="preserve"> Ірша Радомишльського району </t>
    </r>
    <r>
      <rPr>
        <i/>
        <sz val="12"/>
        <color indexed="8"/>
        <rFont val="Times New Roman"/>
        <family val="1"/>
        <charset val="204"/>
      </rPr>
      <t>Житомирської області - будівництво</t>
    </r>
  </si>
  <si>
    <r>
      <t xml:space="preserve">Амбулаторія на 1-2 лікаря з житлом по вул. Першотравнева, 6а у </t>
    </r>
    <r>
      <rPr>
        <i/>
        <sz val="14"/>
        <color indexed="8"/>
        <rFont val="Times New Roman"/>
        <family val="1"/>
        <charset val="204"/>
      </rPr>
      <t xml:space="preserve">с.Квітневе Попільнянського  району </t>
    </r>
    <r>
      <rPr>
        <i/>
        <sz val="12"/>
        <color indexed="8"/>
        <rFont val="Times New Roman"/>
        <family val="1"/>
        <charset val="204"/>
      </rPr>
      <t>Житомирської області - будівництво</t>
    </r>
  </si>
  <si>
    <r>
      <t xml:space="preserve">Амбулаторія на 1-2 лікаря з житлом по вул. Горького, 17б у смт </t>
    </r>
    <r>
      <rPr>
        <i/>
        <sz val="14"/>
        <color indexed="8"/>
        <rFont val="Times New Roman"/>
        <family val="1"/>
        <charset val="204"/>
      </rPr>
      <t>Першотравневе Овруцького  району</t>
    </r>
    <r>
      <rPr>
        <i/>
        <sz val="12"/>
        <color indexed="8"/>
        <rFont val="Times New Roman"/>
        <family val="1"/>
        <charset val="204"/>
      </rPr>
      <t xml:space="preserve"> Житомирської області - будівництво</t>
    </r>
  </si>
  <si>
    <r>
      <t xml:space="preserve">Амбулаторія на 1-2 лікаря з житлом по вул. Шевченка, 9 у с. </t>
    </r>
    <r>
      <rPr>
        <i/>
        <sz val="14"/>
        <color indexed="8"/>
        <rFont val="Times New Roman"/>
        <family val="1"/>
        <charset val="204"/>
      </rPr>
      <t xml:space="preserve">Підлуби Ємільчинського району </t>
    </r>
    <r>
      <rPr>
        <i/>
        <sz val="12"/>
        <color indexed="8"/>
        <rFont val="Times New Roman"/>
        <family val="1"/>
        <charset val="204"/>
      </rPr>
      <t>Житомирської області - будівництво</t>
    </r>
  </si>
  <si>
    <r>
      <t xml:space="preserve">Амбулаторія на 1-2 лікаря з житлом по вул. Шкільна, 3 у с. </t>
    </r>
    <r>
      <rPr>
        <i/>
        <sz val="14"/>
        <color indexed="8"/>
        <rFont val="Times New Roman"/>
        <family val="1"/>
        <charset val="204"/>
      </rPr>
      <t>Піски Житомирського району</t>
    </r>
    <r>
      <rPr>
        <i/>
        <sz val="12"/>
        <color indexed="8"/>
        <rFont val="Times New Roman"/>
        <family val="1"/>
        <charset val="204"/>
      </rPr>
      <t xml:space="preserve"> Житомирської області - будівництво</t>
    </r>
  </si>
  <si>
    <r>
      <t xml:space="preserve">Амбулаторія на 1-2 лікаря з житлом по вул. Шляхова, 55 у с. </t>
    </r>
    <r>
      <rPr>
        <i/>
        <sz val="14"/>
        <color indexed="8"/>
        <rFont val="Times New Roman"/>
        <family val="1"/>
        <charset val="204"/>
      </rPr>
      <t>Покалів Овруцького району</t>
    </r>
    <r>
      <rPr>
        <i/>
        <sz val="12"/>
        <color indexed="8"/>
        <rFont val="Times New Roman"/>
        <family val="1"/>
        <charset val="204"/>
      </rPr>
      <t xml:space="preserve"> Житомирської області - будівництво</t>
    </r>
  </si>
  <si>
    <r>
      <t xml:space="preserve">Амбулаторія на 1-2 лікаря з житлом по вул. Соборна,23 у с. </t>
    </r>
    <r>
      <rPr>
        <i/>
        <sz val="14"/>
        <color indexed="8"/>
        <rFont val="Times New Roman"/>
        <family val="1"/>
        <charset val="204"/>
      </rPr>
      <t>Райгородок Бердичівського району</t>
    </r>
    <r>
      <rPr>
        <i/>
        <sz val="12"/>
        <color indexed="8"/>
        <rFont val="Times New Roman"/>
        <family val="1"/>
        <charset val="204"/>
      </rPr>
      <t xml:space="preserve"> Житомирської області - будівництво</t>
    </r>
  </si>
  <si>
    <r>
      <t xml:space="preserve">Амбулаторія на 1-2 лікаря з житлом по вул. Каштанова, 113 а у с. </t>
    </r>
    <r>
      <rPr>
        <i/>
        <sz val="14"/>
        <color indexed="8"/>
        <rFont val="Times New Roman"/>
        <family val="1"/>
        <charset val="204"/>
      </rPr>
      <t>Семенівка Бердичівського району</t>
    </r>
    <r>
      <rPr>
        <i/>
        <sz val="12"/>
        <color indexed="8"/>
        <rFont val="Times New Roman"/>
        <family val="1"/>
        <charset val="204"/>
      </rPr>
      <t xml:space="preserve"> Житомирської області - будівництво</t>
    </r>
  </si>
  <si>
    <r>
      <t xml:space="preserve">Амбулаторія на 1-2 лікаря з житлом по вул. Шкільна, 5б в с. </t>
    </r>
    <r>
      <rPr>
        <i/>
        <sz val="14"/>
        <color indexed="8"/>
        <rFont val="Times New Roman"/>
        <family val="1"/>
        <charset val="204"/>
      </rPr>
      <t xml:space="preserve">Сінгури Житомирського району </t>
    </r>
    <r>
      <rPr>
        <i/>
        <sz val="12"/>
        <color indexed="8"/>
        <rFont val="Times New Roman"/>
        <family val="1"/>
        <charset val="204"/>
      </rPr>
      <t>Житомирської області - будівництво</t>
    </r>
  </si>
  <si>
    <r>
      <t xml:space="preserve">Амбулаторія на 1-2 лікаря з житлом по вул. Малікова, 51б у с. </t>
    </r>
    <r>
      <rPr>
        <i/>
        <sz val="14"/>
        <color indexed="8"/>
        <rFont val="Times New Roman"/>
        <family val="1"/>
        <charset val="204"/>
      </rPr>
      <t xml:space="preserve">Хочине Олевського району </t>
    </r>
    <r>
      <rPr>
        <i/>
        <sz val="12"/>
        <color indexed="8"/>
        <rFont val="Times New Roman"/>
        <family val="1"/>
        <charset val="204"/>
      </rPr>
      <t>Житомирської області - будівництво</t>
    </r>
  </si>
  <si>
    <r>
      <t xml:space="preserve">Амбулаторія на 1-2 лікаря з житлом по вул. Сонячна, 5а у смт. </t>
    </r>
    <r>
      <rPr>
        <i/>
        <sz val="14"/>
        <color indexed="8"/>
        <rFont val="Times New Roman"/>
        <family val="1"/>
        <charset val="204"/>
      </rPr>
      <t>Биківка Романівського  району</t>
    </r>
    <r>
      <rPr>
        <i/>
        <sz val="12"/>
        <color indexed="8"/>
        <rFont val="Times New Roman"/>
        <family val="1"/>
        <charset val="204"/>
      </rPr>
      <t xml:space="preserve"> Житомирської області - будівництво</t>
    </r>
  </si>
  <si>
    <r>
      <t xml:space="preserve">Амбулаторія на 1-2 лікаря з житлом по провулку Медичному, 5 у с. </t>
    </r>
    <r>
      <rPr>
        <i/>
        <sz val="14"/>
        <color indexed="8"/>
        <rFont val="Times New Roman"/>
        <family val="1"/>
        <charset val="204"/>
      </rPr>
      <t xml:space="preserve">Білилівка Ружинського району </t>
    </r>
    <r>
      <rPr>
        <i/>
        <sz val="12"/>
        <color indexed="8"/>
        <rFont val="Times New Roman"/>
        <family val="1"/>
        <charset val="204"/>
      </rPr>
      <t>Житомирської області - будівництво</t>
    </r>
  </si>
  <si>
    <r>
      <t xml:space="preserve">Амбулаторія на 1-2 лікаря з житлом по вул. Центральна 20а у с. </t>
    </r>
    <r>
      <rPr>
        <i/>
        <sz val="14"/>
        <color indexed="8"/>
        <rFont val="Times New Roman"/>
        <family val="1"/>
        <charset val="204"/>
      </rPr>
      <t>Водотиї Брусилівського району</t>
    </r>
    <r>
      <rPr>
        <i/>
        <sz val="12"/>
        <color indexed="8"/>
        <rFont val="Times New Roman"/>
        <family val="1"/>
        <charset val="204"/>
      </rPr>
      <t xml:space="preserve"> Житомирської області - будівництво</t>
    </r>
  </si>
  <si>
    <r>
      <t xml:space="preserve">Амбулаторія на 1-2 лікаря з житлом по вул. Адмірала Левченка, 137 в с. </t>
    </r>
    <r>
      <rPr>
        <i/>
        <sz val="14"/>
        <color indexed="8"/>
        <rFont val="Times New Roman"/>
        <family val="1"/>
        <charset val="204"/>
      </rPr>
      <t xml:space="preserve">Дубрівка Баранівського району </t>
    </r>
    <r>
      <rPr>
        <i/>
        <sz val="12"/>
        <color indexed="8"/>
        <rFont val="Times New Roman"/>
        <family val="1"/>
        <charset val="204"/>
      </rPr>
      <t>Житомирської області - будівництво</t>
    </r>
  </si>
  <si>
    <r>
      <t xml:space="preserve">Амбулаторія на 1-2 лікаря з житлом по вул. Центральна. 48 у с. </t>
    </r>
    <r>
      <rPr>
        <i/>
        <sz val="14"/>
        <color indexed="8"/>
        <rFont val="Times New Roman"/>
        <family val="1"/>
        <charset val="204"/>
      </rPr>
      <t>Краснопіль Чуднівського району</t>
    </r>
    <r>
      <rPr>
        <i/>
        <sz val="12"/>
        <color indexed="8"/>
        <rFont val="Times New Roman"/>
        <family val="1"/>
        <charset val="204"/>
      </rPr>
      <t xml:space="preserve"> Житомирської області - будівництво</t>
    </r>
  </si>
  <si>
    <r>
      <t xml:space="preserve">Амбулаторія на 1-2 лікаря з житлом по вул. Зарудня, 30 у с. </t>
    </r>
    <r>
      <rPr>
        <i/>
        <sz val="14"/>
        <color indexed="8"/>
        <rFont val="Times New Roman"/>
        <family val="1"/>
        <charset val="204"/>
      </rPr>
      <t xml:space="preserve">Липне Любарського району </t>
    </r>
    <r>
      <rPr>
        <i/>
        <sz val="12"/>
        <color indexed="8"/>
        <rFont val="Times New Roman"/>
        <family val="1"/>
        <charset val="204"/>
      </rPr>
      <t>Житомирської області - будівництво</t>
    </r>
  </si>
  <si>
    <r>
      <t xml:space="preserve">Амбулаторія на 1-2 лікаря з житлом по вул. Миру, 1 у с. </t>
    </r>
    <r>
      <rPr>
        <i/>
        <sz val="14"/>
        <color indexed="8"/>
        <rFont val="Times New Roman"/>
        <family val="1"/>
        <charset val="204"/>
      </rPr>
      <t>Соколів Пулинського  району</t>
    </r>
    <r>
      <rPr>
        <i/>
        <sz val="12"/>
        <color indexed="8"/>
        <rFont val="Times New Roman"/>
        <family val="1"/>
        <charset val="204"/>
      </rPr>
      <t xml:space="preserve"> Житомирської області - будівництво</t>
    </r>
  </si>
  <si>
    <r>
      <t xml:space="preserve">Амбулаторія на 1-2 лікаря з житлом в с. Оліївка по вул. Зоряна, 72а (південний схід </t>
    </r>
    <r>
      <rPr>
        <i/>
        <sz val="14"/>
        <color indexed="8"/>
        <rFont val="Times New Roman"/>
        <family val="1"/>
        <charset val="204"/>
      </rPr>
      <t xml:space="preserve">с. Сонячне) Житомирського району </t>
    </r>
    <r>
      <rPr>
        <i/>
        <sz val="12"/>
        <color indexed="8"/>
        <rFont val="Times New Roman"/>
        <family val="1"/>
        <charset val="204"/>
      </rPr>
      <t>Житомирської області - будівництво</t>
    </r>
  </si>
  <si>
    <t>1617324</t>
  </si>
  <si>
    <r>
      <t>Будівництво</t>
    </r>
    <r>
      <rPr>
        <i/>
        <vertAlign val="superscript"/>
        <sz val="14"/>
        <color indexed="8"/>
        <rFont val="Times New Roman"/>
        <family val="1"/>
        <charset val="204"/>
      </rPr>
      <t>1</t>
    </r>
    <r>
      <rPr>
        <i/>
        <sz val="14"/>
        <color indexed="8"/>
        <rFont val="Times New Roman"/>
        <family val="1"/>
        <charset val="204"/>
      </rPr>
      <t xml:space="preserve"> установ та закладів культури</t>
    </r>
  </si>
  <si>
    <t>Капітальний ремонт Житомирського обласного краєзнавчого музею Житомирської обласної ради</t>
  </si>
  <si>
    <t xml:space="preserve">Капітальний ремонт приміщення дитячого відділення КУ "Олевська центральна лікарня"      (1 черга - 300000 грн, 2 черга - 280000 грн) </t>
  </si>
  <si>
    <t>Проведення Всеукраїнського патріотичного фестивалю "Олевська республіка"</t>
  </si>
  <si>
    <t>на оплату праці з нарахуваннями педагогічних працівників закладів загальної середньої освіти                                   (видатки споживання)</t>
  </si>
  <si>
    <t>від 18.12.2018 № 1312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</si>
</sst>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5" formatCode="_-* #,##0.00_р_._-;\-* #,##0.00_р_._-;_-* &quot;-&quot;??_р_._-;_-@_-"/>
    <numFmt numFmtId="176" formatCode="0.0"/>
    <numFmt numFmtId="177" formatCode="0.000"/>
    <numFmt numFmtId="179" formatCode="#,##0.0"/>
    <numFmt numFmtId="180" formatCode="#,##0.000"/>
    <numFmt numFmtId="183" formatCode="#,##0.00000"/>
    <numFmt numFmtId="184" formatCode="#,##0.000000"/>
    <numFmt numFmtId="189" formatCode="#,##0.0000"/>
  </numFmts>
  <fonts count="134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3"/>
      <name val="Arial Cyr"/>
      <family val="2"/>
      <charset val="204"/>
    </font>
    <font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</font>
    <font>
      <b/>
      <i/>
      <sz val="14"/>
      <color indexed="8"/>
      <name val="Times New Roman"/>
      <family val="1"/>
    </font>
    <font>
      <b/>
      <i/>
      <sz val="14"/>
      <name val="Arial Cyr"/>
      <charset val="204"/>
    </font>
    <font>
      <sz val="14"/>
      <color indexed="8"/>
      <name val="Times New Roman"/>
      <family val="1"/>
    </font>
    <font>
      <sz val="13"/>
      <color indexed="8"/>
      <name val="Times New Roman"/>
      <family val="1"/>
    </font>
    <font>
      <sz val="11"/>
      <name val="Times New Roman"/>
      <family val="1"/>
      <charset val="204"/>
    </font>
    <font>
      <b/>
      <sz val="16"/>
      <name val="Arial Cyr"/>
      <family val="2"/>
      <charset val="204"/>
    </font>
    <font>
      <b/>
      <sz val="11"/>
      <name val="Times New Roman"/>
      <family val="1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 Cyr"/>
      <charset val="204"/>
    </font>
    <font>
      <sz val="12"/>
      <color indexed="10"/>
      <name val="Times New Roman"/>
      <family val="1"/>
      <charset val="204"/>
    </font>
    <font>
      <b/>
      <sz val="12"/>
      <name val="Arial Cyr"/>
      <family val="2"/>
      <charset val="204"/>
    </font>
    <font>
      <sz val="10"/>
      <name val="Arial"/>
      <family val="2"/>
      <charset val="204"/>
    </font>
    <font>
      <sz val="11"/>
      <color indexed="10"/>
      <name val="Times New Roman"/>
      <family val="1"/>
      <charset val="204"/>
    </font>
    <font>
      <sz val="10"/>
      <name val="Helv"/>
      <charset val="204"/>
    </font>
    <font>
      <i/>
      <sz val="10"/>
      <name val="Arial"/>
      <family val="2"/>
      <charset val="204"/>
    </font>
    <font>
      <i/>
      <sz val="10"/>
      <name val="Arial Cyr"/>
      <charset val="204"/>
    </font>
    <font>
      <b/>
      <i/>
      <sz val="10"/>
      <name val="Arial"/>
      <family val="2"/>
      <charset val="204"/>
    </font>
    <font>
      <b/>
      <i/>
      <sz val="10"/>
      <name val="Arial Cyr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0"/>
      <name val="Arial Cyr"/>
      <family val="2"/>
      <charset val="204"/>
    </font>
    <font>
      <b/>
      <sz val="10"/>
      <color indexed="10"/>
      <name val="Arial Cyr"/>
      <charset val="204"/>
    </font>
    <font>
      <i/>
      <sz val="14"/>
      <name val="Times New Roman"/>
      <family val="1"/>
      <charset val="204"/>
    </font>
    <font>
      <sz val="12"/>
      <color indexed="10"/>
      <name val="Arial Cyr"/>
      <charset val="204"/>
    </font>
    <font>
      <b/>
      <i/>
      <sz val="12"/>
      <color indexed="12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i/>
      <sz val="10"/>
      <name val="Arial Cyr"/>
      <family val="2"/>
      <charset val="204"/>
    </font>
    <font>
      <i/>
      <sz val="8"/>
      <name val="Times New Roman"/>
      <family val="1"/>
      <charset val="204"/>
    </font>
    <font>
      <i/>
      <vertAlign val="superscript"/>
      <sz val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0"/>
      <name val="Times New Roman Cyr"/>
      <family val="1"/>
      <charset val="204"/>
    </font>
    <font>
      <vertAlign val="superscript"/>
      <sz val="14"/>
      <name val="Times New Roman"/>
      <family val="1"/>
      <charset val="204"/>
    </font>
    <font>
      <i/>
      <vertAlign val="superscript"/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vertAlign val="superscript"/>
      <sz val="14"/>
      <color indexed="8"/>
      <name val="Times New Roman"/>
      <family val="1"/>
      <charset val="204"/>
    </font>
    <font>
      <i/>
      <vertAlign val="superscript"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vertAlign val="superscript"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4"/>
      <color indexed="8"/>
      <name val="Arial Cyr"/>
      <charset val="204"/>
    </font>
    <font>
      <vertAlign val="superscript"/>
      <sz val="14"/>
      <color indexed="8"/>
      <name val="Times New Roman"/>
      <family val="1"/>
      <charset val="204"/>
    </font>
    <font>
      <i/>
      <vertAlign val="superscript"/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8"/>
      <color rgb="FFFF0000"/>
      <name val="Arial Cyr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sz val="20"/>
      <color rgb="FFFF0000"/>
      <name val="Arial Cyr"/>
      <charset val="204"/>
    </font>
    <font>
      <sz val="14"/>
      <color rgb="FF7030A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b/>
      <sz val="14"/>
      <color theme="0" tint="-0.499984740745262"/>
      <name val="Times New Roman"/>
      <family val="1"/>
      <charset val="204"/>
    </font>
    <font>
      <sz val="14"/>
      <color theme="0" tint="-0.499984740745262"/>
      <name val="Times New Roman"/>
      <family val="1"/>
      <charset val="204"/>
    </font>
    <font>
      <sz val="14"/>
      <color rgb="FFFF0000"/>
      <name val="Arial Cyr"/>
      <charset val="204"/>
    </font>
    <font>
      <sz val="14"/>
      <color rgb="FF00B050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sz val="10"/>
      <color rgb="FFFF0000"/>
      <name val="Arial Cyr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Arial Cyr"/>
      <family val="2"/>
      <charset val="204"/>
    </font>
    <font>
      <b/>
      <sz val="12"/>
      <color theme="1"/>
      <name val="Arial Cyr"/>
      <family val="2"/>
      <charset val="204"/>
    </font>
    <font>
      <sz val="10"/>
      <color theme="1"/>
      <name val="Arial Cyr"/>
      <charset val="204"/>
    </font>
    <font>
      <i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3"/>
      <color theme="1"/>
      <name val="Arial Cyr"/>
      <family val="2"/>
      <charset val="204"/>
    </font>
    <font>
      <sz val="12"/>
      <color theme="1"/>
      <name val="Arial Cyr"/>
      <family val="2"/>
      <charset val="204"/>
    </font>
    <font>
      <sz val="12"/>
      <color theme="1"/>
      <name val="Arial Cyr"/>
      <charset val="204"/>
    </font>
    <font>
      <i/>
      <sz val="12"/>
      <color theme="1"/>
      <name val="Arial Cyr"/>
      <charset val="204"/>
    </font>
    <font>
      <i/>
      <sz val="10"/>
      <color theme="1"/>
      <name val="Arial Cyr"/>
      <charset val="204"/>
    </font>
    <font>
      <b/>
      <sz val="12"/>
      <color theme="1"/>
      <name val="Arial Cyr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Arial Cyr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Arial Cyr"/>
      <family val="2"/>
      <charset val="204"/>
    </font>
    <font>
      <b/>
      <i/>
      <sz val="10"/>
      <color theme="1"/>
      <name val="Arial Cyr"/>
      <family val="2"/>
      <charset val="204"/>
    </font>
    <font>
      <sz val="10"/>
      <color theme="1"/>
      <name val="Arial Cyr"/>
      <family val="2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4"/>
      <color theme="1"/>
      <name val="Arial Cyr"/>
      <charset val="204"/>
    </font>
    <font>
      <b/>
      <sz val="14"/>
      <color theme="1"/>
      <name val="Arial Cyr"/>
      <charset val="204"/>
    </font>
    <font>
      <sz val="14"/>
      <color theme="1"/>
      <name val="Timeg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Arial Cyr"/>
      <family val="2"/>
      <charset val="204"/>
    </font>
    <font>
      <i/>
      <sz val="14"/>
      <color theme="1"/>
      <name val="Arial Cyr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0" fontId="11" fillId="0" borderId="0"/>
    <xf numFmtId="0" fontId="1" fillId="0" borderId="0"/>
    <xf numFmtId="0" fontId="11" fillId="0" borderId="0"/>
    <xf numFmtId="0" fontId="42" fillId="0" borderId="0"/>
    <xf numFmtId="0" fontId="42" fillId="0" borderId="0"/>
    <xf numFmtId="0" fontId="40" fillId="0" borderId="0"/>
    <xf numFmtId="0" fontId="40" fillId="0" borderId="0"/>
    <xf numFmtId="0" fontId="11" fillId="0" borderId="0"/>
    <xf numFmtId="0" fontId="42" fillId="0" borderId="0"/>
    <xf numFmtId="0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</cellStyleXfs>
  <cellXfs count="1227">
    <xf numFmtId="0" fontId="0" fillId="0" borderId="0" xfId="0"/>
    <xf numFmtId="176" fontId="5" fillId="2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176" fontId="5" fillId="0" borderId="0" xfId="0" applyNumberFormat="1" applyFont="1" applyBorder="1"/>
    <xf numFmtId="0" fontId="5" fillId="0" borderId="0" xfId="0" applyFont="1" applyAlignment="1"/>
    <xf numFmtId="0" fontId="0" fillId="0" borderId="0" xfId="0" applyBorder="1"/>
    <xf numFmtId="0" fontId="0" fillId="0" borderId="0" xfId="0" applyFill="1"/>
    <xf numFmtId="0" fontId="8" fillId="0" borderId="0" xfId="0" applyFont="1" applyAlignment="1"/>
    <xf numFmtId="0" fontId="4" fillId="0" borderId="0" xfId="0" applyFont="1" applyFill="1"/>
    <xf numFmtId="0" fontId="2" fillId="0" borderId="0" xfId="0" applyFont="1" applyFill="1"/>
    <xf numFmtId="0" fontId="12" fillId="0" borderId="0" xfId="0" applyFont="1" applyFill="1"/>
    <xf numFmtId="0" fontId="3" fillId="0" borderId="0" xfId="0" applyFont="1" applyFill="1"/>
    <xf numFmtId="0" fontId="0" fillId="0" borderId="0" xfId="0" applyFill="1" applyAlignment="1">
      <alignment horizontal="right"/>
    </xf>
    <xf numFmtId="0" fontId="19" fillId="0" borderId="0" xfId="0" applyFont="1" applyFill="1"/>
    <xf numFmtId="0" fontId="18" fillId="0" borderId="0" xfId="0" applyFont="1" applyAlignment="1">
      <alignment horizontal="right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justify" vertical="top" wrapText="1"/>
    </xf>
    <xf numFmtId="0" fontId="15" fillId="0" borderId="1" xfId="0" applyNumberFormat="1" applyFont="1" applyBorder="1" applyAlignment="1">
      <alignment vertical="top" wrapText="1"/>
    </xf>
    <xf numFmtId="0" fontId="8" fillId="0" borderId="0" xfId="0" applyFont="1" applyBorder="1"/>
    <xf numFmtId="0" fontId="24" fillId="0" borderId="0" xfId="0" applyFont="1"/>
    <xf numFmtId="0" fontId="15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left" vertical="top" wrapText="1" shrinkToFit="1"/>
    </xf>
    <xf numFmtId="49" fontId="15" fillId="0" borderId="1" xfId="0" applyNumberFormat="1" applyFont="1" applyFill="1" applyBorder="1" applyAlignment="1">
      <alignment horizontal="center" vertical="top"/>
    </xf>
    <xf numFmtId="0" fontId="15" fillId="0" borderId="1" xfId="0" applyFont="1" applyFill="1" applyBorder="1" applyAlignment="1">
      <alignment wrapText="1"/>
    </xf>
    <xf numFmtId="0" fontId="22" fillId="0" borderId="1" xfId="0" applyFont="1" applyFill="1" applyBorder="1" applyAlignment="1">
      <alignment horizontal="left" vertical="top" wrapText="1" shrinkToFit="1"/>
    </xf>
    <xf numFmtId="3" fontId="21" fillId="0" borderId="1" xfId="0" applyNumberFormat="1" applyFont="1" applyFill="1" applyBorder="1" applyAlignment="1">
      <alignment horizontal="right" vertical="top"/>
    </xf>
    <xf numFmtId="3" fontId="15" fillId="0" borderId="1" xfId="0" applyNumberFormat="1" applyFont="1" applyFill="1" applyBorder="1" applyAlignment="1">
      <alignment horizontal="right" vertical="top"/>
    </xf>
    <xf numFmtId="3" fontId="22" fillId="0" borderId="1" xfId="0" applyNumberFormat="1" applyFont="1" applyFill="1" applyBorder="1" applyAlignment="1">
      <alignment horizontal="right" vertical="top"/>
    </xf>
    <xf numFmtId="3" fontId="15" fillId="0" borderId="1" xfId="0" applyNumberFormat="1" applyFont="1" applyFill="1" applyBorder="1" applyAlignment="1">
      <alignment horizontal="right" vertical="top" wrapText="1"/>
    </xf>
    <xf numFmtId="0" fontId="16" fillId="0" borderId="1" xfId="0" applyFont="1" applyFill="1" applyBorder="1" applyAlignment="1">
      <alignment horizontal="center"/>
    </xf>
    <xf numFmtId="4" fontId="15" fillId="0" borderId="1" xfId="0" applyNumberFormat="1" applyFont="1" applyFill="1" applyBorder="1" applyAlignment="1">
      <alignment horizontal="right" vertical="top"/>
    </xf>
    <xf numFmtId="4" fontId="8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1" fillId="0" borderId="0" xfId="0" applyFont="1" applyFill="1"/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26" fillId="0" borderId="1" xfId="0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vertical="top" wrapText="1"/>
    </xf>
    <xf numFmtId="0" fontId="27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vertical="top" wrapText="1"/>
    </xf>
    <xf numFmtId="0" fontId="29" fillId="0" borderId="1" xfId="0" applyFont="1" applyBorder="1" applyAlignment="1">
      <alignment horizontal="center" vertical="top" wrapText="1"/>
    </xf>
    <xf numFmtId="0" fontId="29" fillId="0" borderId="1" xfId="0" applyFont="1" applyBorder="1" applyAlignment="1">
      <alignment vertical="top" wrapText="1"/>
    </xf>
    <xf numFmtId="0" fontId="25" fillId="0" borderId="1" xfId="0" applyFont="1" applyFill="1" applyBorder="1" applyAlignment="1">
      <alignment vertical="top" wrapText="1"/>
    </xf>
    <xf numFmtId="0" fontId="25" fillId="0" borderId="1" xfId="0" applyFont="1" applyBorder="1" applyAlignment="1">
      <alignment horizontal="center" vertical="top" wrapText="1"/>
    </xf>
    <xf numFmtId="0" fontId="30" fillId="0" borderId="0" xfId="0" applyFont="1" applyBorder="1" applyAlignment="1">
      <alignment horizontal="center" vertical="top" wrapText="1"/>
    </xf>
    <xf numFmtId="0" fontId="30" fillId="0" borderId="0" xfId="0" applyFont="1" applyBorder="1" applyAlignment="1">
      <alignment vertical="top" wrapText="1"/>
    </xf>
    <xf numFmtId="0" fontId="13" fillId="0" borderId="0" xfId="0" applyFont="1"/>
    <xf numFmtId="0" fontId="8" fillId="0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3" fontId="8" fillId="0" borderId="0" xfId="0" applyNumberFormat="1" applyFont="1"/>
    <xf numFmtId="4" fontId="0" fillId="0" borderId="0" xfId="0" applyNumberFormat="1"/>
    <xf numFmtId="0" fontId="37" fillId="0" borderId="0" xfId="0" applyFont="1"/>
    <xf numFmtId="0" fontId="0" fillId="0" borderId="0" xfId="0" applyFill="1" applyBorder="1"/>
    <xf numFmtId="0" fontId="9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/>
    </xf>
    <xf numFmtId="0" fontId="9" fillId="0" borderId="0" xfId="0" applyFont="1" applyFill="1" applyAlignment="1">
      <alignment horizontal="center"/>
    </xf>
    <xf numFmtId="3" fontId="0" fillId="0" borderId="0" xfId="0" applyNumberFormat="1" applyFill="1"/>
    <xf numFmtId="0" fontId="19" fillId="3" borderId="0" xfId="0" applyFont="1" applyFill="1"/>
    <xf numFmtId="0" fontId="19" fillId="0" borderId="0" xfId="0" applyFont="1" applyFill="1" applyBorder="1"/>
    <xf numFmtId="0" fontId="8" fillId="0" borderId="0" xfId="0" applyFont="1" applyFill="1"/>
    <xf numFmtId="3" fontId="15" fillId="0" borderId="2" xfId="0" applyNumberFormat="1" applyFont="1" applyFill="1" applyBorder="1" applyAlignment="1">
      <alignment horizontal="right" vertical="top" wrapText="1"/>
    </xf>
    <xf numFmtId="3" fontId="15" fillId="0" borderId="2" xfId="0" applyNumberFormat="1" applyFont="1" applyFill="1" applyBorder="1" applyAlignment="1">
      <alignment horizontal="right" vertical="top"/>
    </xf>
    <xf numFmtId="0" fontId="15" fillId="0" borderId="0" xfId="0" applyFont="1" applyFill="1" applyAlignment="1"/>
    <xf numFmtId="0" fontId="19" fillId="0" borderId="0" xfId="0" applyFont="1"/>
    <xf numFmtId="0" fontId="15" fillId="0" borderId="3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center" wrapText="1"/>
    </xf>
    <xf numFmtId="0" fontId="8" fillId="3" borderId="0" xfId="0" applyFont="1" applyFill="1"/>
    <xf numFmtId="0" fontId="8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wrapText="1"/>
    </xf>
    <xf numFmtId="3" fontId="13" fillId="0" borderId="1" xfId="0" applyNumberFormat="1" applyFont="1" applyBorder="1" applyAlignment="1">
      <alignment wrapText="1"/>
    </xf>
    <xf numFmtId="0" fontId="5" fillId="0" borderId="0" xfId="4" applyFont="1" applyAlignment="1">
      <alignment horizontal="centerContinuous"/>
    </xf>
    <xf numFmtId="0" fontId="8" fillId="0" borderId="0" xfId="4" applyFont="1" applyAlignment="1"/>
    <xf numFmtId="0" fontId="1" fillId="0" borderId="0" xfId="4" applyFont="1"/>
    <xf numFmtId="0" fontId="11" fillId="0" borderId="0" xfId="4" applyFont="1"/>
    <xf numFmtId="0" fontId="5" fillId="0" borderId="0" xfId="4" applyFont="1" applyAlignment="1">
      <alignment horizontal="left"/>
    </xf>
    <xf numFmtId="0" fontId="5" fillId="0" borderId="0" xfId="4" applyFont="1" applyAlignment="1">
      <alignment horizontal="center"/>
    </xf>
    <xf numFmtId="0" fontId="5" fillId="0" borderId="0" xfId="4" applyFont="1"/>
    <xf numFmtId="0" fontId="5" fillId="0" borderId="0" xfId="4" applyFont="1" applyAlignment="1">
      <alignment horizontal="right"/>
    </xf>
    <xf numFmtId="0" fontId="15" fillId="0" borderId="1" xfId="4" applyFont="1" applyBorder="1" applyAlignment="1">
      <alignment horizontal="center" vertical="center" wrapText="1"/>
    </xf>
    <xf numFmtId="0" fontId="15" fillId="0" borderId="1" xfId="4" applyFont="1" applyBorder="1" applyAlignment="1">
      <alignment horizontal="center"/>
    </xf>
    <xf numFmtId="0" fontId="21" fillId="0" borderId="1" xfId="4" applyFont="1" applyBorder="1" applyAlignment="1">
      <alignment horizontal="center"/>
    </xf>
    <xf numFmtId="3" fontId="21" fillId="0" borderId="1" xfId="4" applyNumberFormat="1" applyFont="1" applyBorder="1"/>
    <xf numFmtId="0" fontId="21" fillId="0" borderId="1" xfId="4" applyFont="1" applyBorder="1" applyAlignment="1">
      <alignment horizontal="justify" wrapText="1"/>
    </xf>
    <xf numFmtId="0" fontId="23" fillId="0" borderId="1" xfId="4" applyFont="1" applyBorder="1" applyAlignment="1">
      <alignment horizontal="center"/>
    </xf>
    <xf numFmtId="0" fontId="23" fillId="0" borderId="1" xfId="4" applyFont="1" applyBorder="1"/>
    <xf numFmtId="3" fontId="23" fillId="0" borderId="1" xfId="4" applyNumberFormat="1" applyFont="1" applyBorder="1"/>
    <xf numFmtId="0" fontId="43" fillId="0" borderId="0" xfId="4" applyFont="1"/>
    <xf numFmtId="0" fontId="44" fillId="0" borderId="0" xfId="4" applyFont="1"/>
    <xf numFmtId="1" fontId="20" fillId="0" borderId="1" xfId="4" applyNumberFormat="1" applyFont="1" applyBorder="1" applyAlignment="1">
      <alignment horizontal="center" vertical="center"/>
    </xf>
    <xf numFmtId="0" fontId="20" fillId="0" borderId="1" xfId="4" applyFont="1" applyBorder="1" applyAlignment="1">
      <alignment vertical="center" wrapText="1"/>
    </xf>
    <xf numFmtId="3" fontId="15" fillId="0" borderId="1" xfId="4" applyNumberFormat="1" applyFont="1" applyBorder="1"/>
    <xf numFmtId="0" fontId="23" fillId="0" borderId="1" xfId="4" applyFont="1" applyBorder="1" applyAlignment="1">
      <alignment horizontal="justify" wrapText="1"/>
    </xf>
    <xf numFmtId="0" fontId="15" fillId="0" borderId="1" xfId="4" applyFont="1" applyBorder="1" applyAlignment="1">
      <alignment horizontal="justify" wrapText="1"/>
    </xf>
    <xf numFmtId="0" fontId="21" fillId="0" borderId="1" xfId="4" applyFont="1" applyBorder="1"/>
    <xf numFmtId="0" fontId="45" fillId="0" borderId="0" xfId="4" applyFont="1"/>
    <xf numFmtId="0" fontId="46" fillId="0" borderId="0" xfId="4" applyFont="1"/>
    <xf numFmtId="0" fontId="47" fillId="0" borderId="1" xfId="4" applyFont="1" applyBorder="1" applyAlignment="1">
      <alignment vertical="center" wrapText="1"/>
    </xf>
    <xf numFmtId="0" fontId="14" fillId="0" borderId="0" xfId="4" applyFont="1"/>
    <xf numFmtId="0" fontId="12" fillId="0" borderId="0" xfId="4" applyFont="1"/>
    <xf numFmtId="0" fontId="48" fillId="0" borderId="1" xfId="4" applyFont="1" applyBorder="1" applyAlignment="1">
      <alignment vertical="center" wrapText="1"/>
    </xf>
    <xf numFmtId="0" fontId="21" fillId="0" borderId="1" xfId="4" applyFont="1" applyBorder="1" applyAlignment="1">
      <alignment horizontal="center" wrapText="1"/>
    </xf>
    <xf numFmtId="0" fontId="15" fillId="0" borderId="1" xfId="4" applyFont="1" applyBorder="1" applyAlignment="1">
      <alignment horizontal="justify" vertical="center" wrapText="1"/>
    </xf>
    <xf numFmtId="0" fontId="23" fillId="0" borderId="1" xfId="4" applyFont="1" applyBorder="1" applyAlignment="1">
      <alignment horizontal="left" wrapText="1"/>
    </xf>
    <xf numFmtId="0" fontId="15" fillId="0" borderId="1" xfId="4" applyFont="1" applyBorder="1"/>
    <xf numFmtId="3" fontId="11" fillId="0" borderId="0" xfId="4" applyNumberFormat="1" applyFont="1"/>
    <xf numFmtId="0" fontId="48" fillId="0" borderId="0" xfId="4" applyFont="1"/>
    <xf numFmtId="0" fontId="15" fillId="0" borderId="1" xfId="4" applyFont="1" applyBorder="1" applyAlignment="1">
      <alignment wrapText="1"/>
    </xf>
    <xf numFmtId="0" fontId="23" fillId="0" borderId="1" xfId="4" applyFont="1" applyBorder="1" applyAlignment="1">
      <alignment wrapText="1"/>
    </xf>
    <xf numFmtId="0" fontId="15" fillId="0" borderId="1" xfId="4" applyFont="1" applyBorder="1" applyAlignment="1">
      <alignment horizontal="center" vertical="justify"/>
    </xf>
    <xf numFmtId="0" fontId="15" fillId="0" borderId="1" xfId="4" applyFont="1" applyBorder="1" applyAlignment="1">
      <alignment horizontal="center" vertical="top"/>
    </xf>
    <xf numFmtId="3" fontId="15" fillId="0" borderId="0" xfId="4" applyNumberFormat="1" applyFont="1"/>
    <xf numFmtId="4" fontId="15" fillId="0" borderId="1" xfId="4" applyNumberFormat="1" applyFont="1" applyBorder="1"/>
    <xf numFmtId="0" fontId="15" fillId="0" borderId="0" xfId="4" applyFont="1" applyBorder="1"/>
    <xf numFmtId="3" fontId="21" fillId="0" borderId="0" xfId="4" applyNumberFormat="1" applyFont="1" applyBorder="1"/>
    <xf numFmtId="0" fontId="8" fillId="0" borderId="0" xfId="4" applyFont="1" applyBorder="1"/>
    <xf numFmtId="0" fontId="13" fillId="0" borderId="0" xfId="4" applyFont="1" applyBorder="1" applyAlignment="1">
      <alignment horizontal="center"/>
    </xf>
    <xf numFmtId="176" fontId="8" fillId="0" borderId="0" xfId="4" applyNumberFormat="1" applyFont="1" applyBorder="1"/>
    <xf numFmtId="176" fontId="21" fillId="0" borderId="0" xfId="4" applyNumberFormat="1" applyFont="1" applyBorder="1"/>
    <xf numFmtId="0" fontId="24" fillId="0" borderId="0" xfId="4" applyFont="1"/>
    <xf numFmtId="0" fontId="13" fillId="0" borderId="0" xfId="4" applyFont="1" applyBorder="1"/>
    <xf numFmtId="0" fontId="11" fillId="0" borderId="1" xfId="4" applyFont="1" applyBorder="1"/>
    <xf numFmtId="0" fontId="49" fillId="0" borderId="0" xfId="4" applyFont="1"/>
    <xf numFmtId="0" fontId="15" fillId="0" borderId="1" xfId="9" applyFont="1" applyBorder="1" applyAlignment="1">
      <alignment horizontal="justify" vertical="top" wrapText="1"/>
    </xf>
    <xf numFmtId="0" fontId="15" fillId="0" borderId="1" xfId="9" applyFont="1" applyBorder="1" applyAlignment="1">
      <alignment vertical="top" wrapText="1"/>
    </xf>
    <xf numFmtId="0" fontId="15" fillId="0" borderId="1" xfId="9" applyNumberFormat="1" applyFont="1" applyBorder="1" applyAlignment="1">
      <alignment vertical="top" wrapText="1"/>
    </xf>
    <xf numFmtId="0" fontId="15" fillId="0" borderId="1" xfId="9" applyFont="1" applyBorder="1" applyAlignment="1">
      <alignment horizontal="justify" wrapText="1"/>
    </xf>
    <xf numFmtId="0" fontId="21" fillId="0" borderId="1" xfId="9" applyFont="1" applyBorder="1" applyAlignment="1">
      <alignment horizontal="center"/>
    </xf>
    <xf numFmtId="0" fontId="20" fillId="0" borderId="1" xfId="9" applyFont="1" applyBorder="1" applyAlignment="1">
      <alignment vertical="center" wrapText="1"/>
    </xf>
    <xf numFmtId="0" fontId="21" fillId="0" borderId="0" xfId="9" applyFont="1" applyBorder="1" applyAlignment="1">
      <alignment horizontal="center"/>
    </xf>
    <xf numFmtId="3" fontId="8" fillId="3" borderId="0" xfId="0" applyNumberFormat="1" applyFont="1" applyFill="1"/>
    <xf numFmtId="3" fontId="21" fillId="0" borderId="1" xfId="0" applyNumberFormat="1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184" fontId="7" fillId="0" borderId="0" xfId="0" applyNumberFormat="1" applyFont="1"/>
    <xf numFmtId="184" fontId="50" fillId="0" borderId="0" xfId="0" applyNumberFormat="1" applyFont="1"/>
    <xf numFmtId="183" fontId="0" fillId="0" borderId="0" xfId="0" applyNumberFormat="1"/>
    <xf numFmtId="184" fontId="7" fillId="0" borderId="0" xfId="0" applyNumberFormat="1" applyFont="1" applyAlignment="1">
      <alignment horizontal="right"/>
    </xf>
    <xf numFmtId="2" fontId="0" fillId="0" borderId="0" xfId="0" applyNumberFormat="1"/>
    <xf numFmtId="4" fontId="28" fillId="0" borderId="1" xfId="0" applyNumberFormat="1" applyFont="1" applyBorder="1" applyAlignment="1">
      <alignment horizontal="center"/>
    </xf>
    <xf numFmtId="3" fontId="15" fillId="0" borderId="4" xfId="0" applyNumberFormat="1" applyFont="1" applyFill="1" applyBorder="1" applyAlignment="1">
      <alignment horizontal="right" vertical="top"/>
    </xf>
    <xf numFmtId="3" fontId="15" fillId="0" borderId="5" xfId="0" applyNumberFormat="1" applyFont="1" applyFill="1" applyBorder="1" applyAlignment="1">
      <alignment horizontal="right" vertical="top"/>
    </xf>
    <xf numFmtId="0" fontId="15" fillId="0" borderId="4" xfId="0" applyFont="1" applyFill="1" applyBorder="1" applyAlignment="1">
      <alignment horizontal="left" vertical="top" wrapText="1" shrinkToFit="1"/>
    </xf>
    <xf numFmtId="0" fontId="2" fillId="0" borderId="0" xfId="0" applyFont="1" applyFill="1" applyBorder="1"/>
    <xf numFmtId="4" fontId="2" fillId="0" borderId="0" xfId="0" applyNumberFormat="1" applyFont="1" applyFill="1" applyBorder="1"/>
    <xf numFmtId="0" fontId="3" fillId="0" borderId="0" xfId="0" applyFont="1" applyFill="1" applyBorder="1"/>
    <xf numFmtId="3" fontId="8" fillId="0" borderId="0" xfId="0" applyNumberFormat="1" applyFont="1" applyFill="1"/>
    <xf numFmtId="0" fontId="8" fillId="0" borderId="0" xfId="0" applyFont="1" applyAlignment="1">
      <alignment wrapText="1"/>
    </xf>
    <xf numFmtId="3" fontId="13" fillId="0" borderId="0" xfId="0" applyNumberFormat="1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3" fontId="13" fillId="3" borderId="0" xfId="0" applyNumberFormat="1" applyFont="1" applyFill="1" applyBorder="1" applyAlignment="1">
      <alignment wrapText="1"/>
    </xf>
    <xf numFmtId="0" fontId="15" fillId="0" borderId="4" xfId="0" applyNumberFormat="1" applyFont="1" applyFill="1" applyBorder="1" applyAlignment="1">
      <alignment vertical="top" wrapText="1"/>
    </xf>
    <xf numFmtId="3" fontId="15" fillId="0" borderId="1" xfId="4" applyNumberFormat="1" applyFont="1" applyFill="1" applyBorder="1"/>
    <xf numFmtId="49" fontId="16" fillId="0" borderId="1" xfId="0" applyNumberFormat="1" applyFont="1" applyFill="1" applyBorder="1" applyAlignment="1">
      <alignment horizontal="center"/>
    </xf>
    <xf numFmtId="49" fontId="15" fillId="0" borderId="1" xfId="0" applyNumberFormat="1" applyFont="1" applyBorder="1" applyAlignment="1">
      <alignment horizontal="center" vertical="top"/>
    </xf>
    <xf numFmtId="49" fontId="15" fillId="0" borderId="4" xfId="0" applyNumberFormat="1" applyFont="1" applyFill="1" applyBorder="1" applyAlignment="1">
      <alignment horizontal="center" vertical="top"/>
    </xf>
    <xf numFmtId="49" fontId="19" fillId="0" borderId="0" xfId="0" applyNumberFormat="1" applyFont="1" applyFill="1"/>
    <xf numFmtId="0" fontId="15" fillId="4" borderId="1" xfId="0" applyFont="1" applyFill="1" applyBorder="1" applyAlignment="1">
      <alignment horizontal="left" vertical="top" wrapText="1" shrinkToFit="1"/>
    </xf>
    <xf numFmtId="3" fontId="15" fillId="4" borderId="1" xfId="0" applyNumberFormat="1" applyFont="1" applyFill="1" applyBorder="1" applyAlignment="1">
      <alignment horizontal="right" vertical="top"/>
    </xf>
    <xf numFmtId="0" fontId="19" fillId="4" borderId="0" xfId="0" applyFont="1" applyFill="1"/>
    <xf numFmtId="49" fontId="15" fillId="4" borderId="1" xfId="0" applyNumberFormat="1" applyFont="1" applyFill="1" applyBorder="1" applyAlignment="1">
      <alignment horizontal="center" vertical="top"/>
    </xf>
    <xf numFmtId="49" fontId="21" fillId="5" borderId="6" xfId="0" applyNumberFormat="1" applyFont="1" applyFill="1" applyBorder="1" applyAlignment="1">
      <alignment horizontal="center" vertical="top" wrapText="1"/>
    </xf>
    <xf numFmtId="0" fontId="21" fillId="5" borderId="6" xfId="0" applyFont="1" applyFill="1" applyBorder="1" applyAlignment="1">
      <alignment horizontal="left" vertical="top" wrapText="1" shrinkToFit="1"/>
    </xf>
    <xf numFmtId="4" fontId="21" fillId="5" borderId="6" xfId="0" applyNumberFormat="1" applyFont="1" applyFill="1" applyBorder="1" applyAlignment="1">
      <alignment horizontal="right" vertical="top"/>
    </xf>
    <xf numFmtId="4" fontId="2" fillId="5" borderId="0" xfId="0" applyNumberFormat="1" applyFont="1" applyFill="1" applyBorder="1"/>
    <xf numFmtId="49" fontId="21" fillId="5" borderId="1" xfId="0" applyNumberFormat="1" applyFont="1" applyFill="1" applyBorder="1" applyAlignment="1">
      <alignment horizontal="center" vertical="top" wrapText="1"/>
    </xf>
    <xf numFmtId="0" fontId="21" fillId="5" borderId="1" xfId="0" applyFont="1" applyFill="1" applyBorder="1" applyAlignment="1">
      <alignment horizontal="left" vertical="top" wrapText="1" shrinkToFit="1"/>
    </xf>
    <xf numFmtId="49" fontId="21" fillId="5" borderId="1" xfId="0" applyNumberFormat="1" applyFont="1" applyFill="1" applyBorder="1" applyAlignment="1">
      <alignment horizontal="center" vertical="top"/>
    </xf>
    <xf numFmtId="49" fontId="15" fillId="5" borderId="1" xfId="0" applyNumberFormat="1" applyFont="1" applyFill="1" applyBorder="1" applyAlignment="1">
      <alignment horizontal="center" vertical="top"/>
    </xf>
    <xf numFmtId="0" fontId="19" fillId="5" borderId="0" xfId="0" applyFont="1" applyFill="1"/>
    <xf numFmtId="0" fontId="12" fillId="5" borderId="0" xfId="0" applyFont="1" applyFill="1"/>
    <xf numFmtId="0" fontId="19" fillId="5" borderId="0" xfId="0" applyFont="1" applyFill="1" applyBorder="1"/>
    <xf numFmtId="0" fontId="21" fillId="5" borderId="1" xfId="0" applyFont="1" applyFill="1" applyBorder="1" applyAlignment="1">
      <alignment horizontal="left" vertical="top"/>
    </xf>
    <xf numFmtId="0" fontId="22" fillId="0" borderId="1" xfId="0" applyFont="1" applyFill="1" applyBorder="1" applyAlignment="1">
      <alignment horizontal="center" vertical="top"/>
    </xf>
    <xf numFmtId="49" fontId="22" fillId="0" borderId="1" xfId="0" applyNumberFormat="1" applyFont="1" applyFill="1" applyBorder="1" applyAlignment="1">
      <alignment horizontal="center" vertical="top"/>
    </xf>
    <xf numFmtId="0" fontId="44" fillId="0" borderId="0" xfId="0" applyFont="1" applyFill="1" applyBorder="1"/>
    <xf numFmtId="0" fontId="22" fillId="0" borderId="1" xfId="0" applyFont="1" applyBorder="1" applyAlignment="1">
      <alignment vertical="top" wrapText="1"/>
    </xf>
    <xf numFmtId="49" fontId="22" fillId="0" borderId="2" xfId="0" applyNumberFormat="1" applyFont="1" applyFill="1" applyBorder="1" applyAlignment="1">
      <alignment horizontal="center" vertical="top"/>
    </xf>
    <xf numFmtId="0" fontId="22" fillId="0" borderId="1" xfId="0" applyFont="1" applyBorder="1" applyAlignment="1">
      <alignment horizontal="justify" wrapText="1"/>
    </xf>
    <xf numFmtId="49" fontId="22" fillId="0" borderId="1" xfId="0" applyNumberFormat="1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vertical="top" wrapText="1"/>
    </xf>
    <xf numFmtId="0" fontId="44" fillId="0" borderId="0" xfId="0" applyFont="1" applyFill="1"/>
    <xf numFmtId="0" fontId="52" fillId="0" borderId="0" xfId="0" applyFont="1" applyFill="1" applyBorder="1"/>
    <xf numFmtId="0" fontId="15" fillId="4" borderId="4" xfId="0" applyFont="1" applyFill="1" applyBorder="1" applyAlignment="1">
      <alignment horizontal="left" vertical="top" wrapText="1" shrinkToFit="1"/>
    </xf>
    <xf numFmtId="0" fontId="53" fillId="6" borderId="0" xfId="0" applyFont="1" applyFill="1"/>
    <xf numFmtId="49" fontId="53" fillId="6" borderId="0" xfId="0" applyNumberFormat="1" applyFont="1" applyFill="1"/>
    <xf numFmtId="4" fontId="53" fillId="6" borderId="0" xfId="0" applyNumberFormat="1" applyFont="1" applyFill="1"/>
    <xf numFmtId="0" fontId="53" fillId="6" borderId="0" xfId="0" applyFont="1" applyFill="1" applyBorder="1"/>
    <xf numFmtId="0" fontId="55" fillId="0" borderId="0" xfId="0" applyFont="1" applyAlignment="1">
      <alignment horizontal="right"/>
    </xf>
    <xf numFmtId="0" fontId="15" fillId="0" borderId="1" xfId="0" applyFont="1" applyFill="1" applyBorder="1" applyAlignment="1">
      <alignment vertical="top" wrapText="1" shrinkToFit="1"/>
    </xf>
    <xf numFmtId="3" fontId="21" fillId="5" borderId="1" xfId="0" applyNumberFormat="1" applyFont="1" applyFill="1" applyBorder="1" applyAlignment="1">
      <alignment vertical="top"/>
    </xf>
    <xf numFmtId="4" fontId="36" fillId="0" borderId="0" xfId="0" applyNumberFormat="1" applyFont="1" applyFill="1"/>
    <xf numFmtId="4" fontId="19" fillId="0" borderId="0" xfId="0" applyNumberFormat="1" applyFont="1" applyFill="1"/>
    <xf numFmtId="3" fontId="21" fillId="5" borderId="6" xfId="0" applyNumberFormat="1" applyFont="1" applyFill="1" applyBorder="1" applyAlignment="1">
      <alignment vertical="top"/>
    </xf>
    <xf numFmtId="3" fontId="15" fillId="0" borderId="1" xfId="0" applyNumberFormat="1" applyFont="1" applyFill="1" applyBorder="1" applyAlignment="1">
      <alignment vertical="top"/>
    </xf>
    <xf numFmtId="4" fontId="15" fillId="0" borderId="1" xfId="0" applyNumberFormat="1" applyFont="1" applyFill="1" applyBorder="1" applyAlignment="1">
      <alignment vertical="top"/>
    </xf>
    <xf numFmtId="3" fontId="31" fillId="0" borderId="1" xfId="0" applyNumberFormat="1" applyFont="1" applyFill="1" applyBorder="1" applyAlignment="1">
      <alignment vertical="top"/>
    </xf>
    <xf numFmtId="3" fontId="15" fillId="4" borderId="1" xfId="0" applyNumberFormat="1" applyFont="1" applyFill="1" applyBorder="1" applyAlignment="1">
      <alignment vertical="top"/>
    </xf>
    <xf numFmtId="3" fontId="22" fillId="0" borderId="1" xfId="0" applyNumberFormat="1" applyFont="1" applyFill="1" applyBorder="1" applyAlignment="1">
      <alignment vertical="top"/>
    </xf>
    <xf numFmtId="4" fontId="21" fillId="5" borderId="1" xfId="0" applyNumberFormat="1" applyFont="1" applyFill="1" applyBorder="1" applyAlignment="1">
      <alignment vertical="top"/>
    </xf>
    <xf numFmtId="3" fontId="22" fillId="0" borderId="3" xfId="0" applyNumberFormat="1" applyFont="1" applyFill="1" applyBorder="1" applyAlignment="1">
      <alignment vertical="top"/>
    </xf>
    <xf numFmtId="3" fontId="22" fillId="0" borderId="1" xfId="0" applyNumberFormat="1" applyFont="1" applyFill="1" applyBorder="1" applyAlignment="1">
      <alignment vertical="top" wrapText="1"/>
    </xf>
    <xf numFmtId="3" fontId="15" fillId="0" borderId="1" xfId="0" applyNumberFormat="1" applyFont="1" applyFill="1" applyBorder="1" applyAlignment="1">
      <alignment vertical="top" wrapText="1"/>
    </xf>
    <xf numFmtId="4" fontId="33" fillId="5" borderId="1" xfId="0" applyNumberFormat="1" applyFont="1" applyFill="1" applyBorder="1" applyAlignment="1">
      <alignment vertical="top"/>
    </xf>
    <xf numFmtId="4" fontId="31" fillId="0" borderId="1" xfId="0" applyNumberFormat="1" applyFont="1" applyFill="1" applyBorder="1" applyAlignment="1">
      <alignment vertical="top"/>
    </xf>
    <xf numFmtId="4" fontId="41" fillId="0" borderId="1" xfId="0" applyNumberFormat="1" applyFont="1" applyFill="1" applyBorder="1" applyAlignment="1">
      <alignment vertical="top"/>
    </xf>
    <xf numFmtId="3" fontId="21" fillId="0" borderId="1" xfId="0" applyNumberFormat="1" applyFont="1" applyFill="1" applyBorder="1" applyAlignment="1">
      <alignment vertical="top"/>
    </xf>
    <xf numFmtId="4" fontId="21" fillId="0" borderId="1" xfId="0" applyNumberFormat="1" applyFont="1" applyFill="1" applyBorder="1" applyAlignment="1">
      <alignment vertical="top"/>
    </xf>
    <xf numFmtId="4" fontId="22" fillId="0" borderId="1" xfId="0" applyNumberFormat="1" applyFont="1" applyFill="1" applyBorder="1" applyAlignment="1">
      <alignment vertical="top"/>
    </xf>
    <xf numFmtId="3" fontId="15" fillId="0" borderId="2" xfId="0" applyNumberFormat="1" applyFont="1" applyFill="1" applyBorder="1" applyAlignment="1">
      <alignment vertical="top" wrapText="1"/>
    </xf>
    <xf numFmtId="3" fontId="38" fillId="0" borderId="1" xfId="0" applyNumberFormat="1" applyFont="1" applyFill="1" applyBorder="1" applyAlignment="1">
      <alignment vertical="top"/>
    </xf>
    <xf numFmtId="0" fontId="15" fillId="0" borderId="1" xfId="4" applyFont="1" applyFill="1" applyBorder="1" applyAlignment="1">
      <alignment horizontal="center" vertical="justify"/>
    </xf>
    <xf numFmtId="3" fontId="13" fillId="0" borderId="0" xfId="0" applyNumberFormat="1" applyFont="1" applyFill="1" applyBorder="1" applyAlignment="1">
      <alignment wrapText="1"/>
    </xf>
    <xf numFmtId="3" fontId="13" fillId="0" borderId="1" xfId="0" applyNumberFormat="1" applyFont="1" applyFill="1" applyBorder="1" applyAlignment="1">
      <alignment horizontal="center" wrapText="1"/>
    </xf>
    <xf numFmtId="2" fontId="15" fillId="0" borderId="1" xfId="0" applyNumberFormat="1" applyFont="1" applyFill="1" applyBorder="1" applyAlignment="1">
      <alignment vertical="top"/>
    </xf>
    <xf numFmtId="4" fontId="21" fillId="0" borderId="1" xfId="4" applyNumberFormat="1" applyFont="1" applyBorder="1"/>
    <xf numFmtId="0" fontId="19" fillId="0" borderId="0" xfId="4" applyFont="1"/>
    <xf numFmtId="0" fontId="13" fillId="0" borderId="0" xfId="0" applyFont="1" applyAlignment="1">
      <alignment wrapText="1"/>
    </xf>
    <xf numFmtId="0" fontId="15" fillId="0" borderId="7" xfId="0" applyFont="1" applyBorder="1" applyAlignment="1">
      <alignment horizontal="center" vertical="top" wrapText="1"/>
    </xf>
    <xf numFmtId="0" fontId="15" fillId="0" borderId="7" xfId="0" applyFont="1" applyBorder="1" applyAlignment="1">
      <alignment vertical="top" wrapText="1"/>
    </xf>
    <xf numFmtId="0" fontId="21" fillId="0" borderId="1" xfId="9" applyFont="1" applyBorder="1" applyAlignment="1">
      <alignment horizontal="left" wrapText="1"/>
    </xf>
    <xf numFmtId="0" fontId="81" fillId="0" borderId="0" xfId="0" applyFont="1"/>
    <xf numFmtId="4" fontId="8" fillId="0" borderId="1" xfId="0" applyNumberFormat="1" applyFont="1" applyFill="1" applyBorder="1" applyAlignment="1">
      <alignment horizontal="center"/>
    </xf>
    <xf numFmtId="4" fontId="11" fillId="0" borderId="0" xfId="4" applyNumberFormat="1" applyFont="1"/>
    <xf numFmtId="3" fontId="82" fillId="0" borderId="0" xfId="0" applyNumberFormat="1" applyFont="1" applyFill="1" applyBorder="1"/>
    <xf numFmtId="0" fontId="15" fillId="9" borderId="1" xfId="0" applyFont="1" applyFill="1" applyBorder="1" applyAlignment="1">
      <alignment vertical="top" wrapText="1" shrinkToFit="1"/>
    </xf>
    <xf numFmtId="0" fontId="0" fillId="9" borderId="0" xfId="0" applyFill="1"/>
    <xf numFmtId="3" fontId="13" fillId="10" borderId="0" xfId="0" applyNumberFormat="1" applyFont="1" applyFill="1" applyBorder="1" applyAlignment="1">
      <alignment wrapText="1"/>
    </xf>
    <xf numFmtId="3" fontId="8" fillId="10" borderId="0" xfId="0" applyNumberFormat="1" applyFont="1" applyFill="1"/>
    <xf numFmtId="0" fontId="8" fillId="10" borderId="0" xfId="0" applyFont="1" applyFill="1"/>
    <xf numFmtId="3" fontId="8" fillId="10" borderId="1" xfId="7" applyNumberFormat="1" applyFont="1" applyFill="1" applyBorder="1" applyAlignment="1">
      <alignment horizontal="center" vertical="center" wrapText="1"/>
    </xf>
    <xf numFmtId="3" fontId="13" fillId="10" borderId="0" xfId="0" applyNumberFormat="1" applyFont="1" applyFill="1" applyBorder="1" applyAlignment="1">
      <alignment horizontal="center" wrapText="1"/>
    </xf>
    <xf numFmtId="0" fontId="8" fillId="9" borderId="1" xfId="0" applyFont="1" applyFill="1" applyBorder="1" applyAlignment="1">
      <alignment horizontal="left" wrapText="1"/>
    </xf>
    <xf numFmtId="3" fontId="8" fillId="9" borderId="1" xfId="7" applyNumberFormat="1" applyFont="1" applyFill="1" applyBorder="1" applyAlignment="1">
      <alignment horizontal="center" vertical="center" wrapText="1"/>
    </xf>
    <xf numFmtId="3" fontId="8" fillId="9" borderId="1" xfId="0" applyNumberFormat="1" applyFont="1" applyFill="1" applyBorder="1" applyAlignment="1">
      <alignment horizontal="center" wrapText="1"/>
    </xf>
    <xf numFmtId="3" fontId="13" fillId="9" borderId="0" xfId="0" applyNumberFormat="1" applyFont="1" applyFill="1" applyBorder="1" applyAlignment="1">
      <alignment horizontal="center" wrapText="1"/>
    </xf>
    <xf numFmtId="3" fontId="8" fillId="9" borderId="0" xfId="0" applyNumberFormat="1" applyFont="1" applyFill="1"/>
    <xf numFmtId="0" fontId="8" fillId="9" borderId="0" xfId="0" applyFont="1" applyFill="1"/>
    <xf numFmtId="0" fontId="8" fillId="9" borderId="1" xfId="0" applyFont="1" applyFill="1" applyBorder="1" applyAlignment="1">
      <alignment wrapText="1"/>
    </xf>
    <xf numFmtId="0" fontId="8" fillId="9" borderId="1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8" fillId="9" borderId="1" xfId="9" applyFont="1" applyFill="1" applyBorder="1" applyAlignment="1">
      <alignment horizontal="left" vertical="center" wrapText="1"/>
    </xf>
    <xf numFmtId="0" fontId="13" fillId="9" borderId="1" xfId="0" applyFont="1" applyFill="1" applyBorder="1" applyAlignment="1">
      <alignment wrapText="1"/>
    </xf>
    <xf numFmtId="3" fontId="13" fillId="9" borderId="1" xfId="0" applyNumberFormat="1" applyFont="1" applyFill="1" applyBorder="1" applyAlignment="1">
      <alignment horizontal="center" wrapText="1"/>
    </xf>
    <xf numFmtId="0" fontId="8" fillId="9" borderId="1" xfId="0" applyFont="1" applyFill="1" applyBorder="1" applyAlignment="1">
      <alignment horizontal="justify" vertical="center" wrapText="1"/>
    </xf>
    <xf numFmtId="0" fontId="8" fillId="9" borderId="1" xfId="0" applyFont="1" applyFill="1" applyBorder="1" applyAlignment="1">
      <alignment horizontal="justify" wrapText="1"/>
    </xf>
    <xf numFmtId="0" fontId="13" fillId="9" borderId="0" xfId="0" applyFont="1" applyFill="1" applyBorder="1" applyAlignment="1">
      <alignment wrapText="1"/>
    </xf>
    <xf numFmtId="0" fontId="13" fillId="9" borderId="0" xfId="0" applyFont="1" applyFill="1"/>
    <xf numFmtId="3" fontId="13" fillId="9" borderId="0" xfId="0" applyNumberFormat="1" applyFont="1" applyFill="1"/>
    <xf numFmtId="3" fontId="15" fillId="0" borderId="3" xfId="0" applyNumberFormat="1" applyFont="1" applyFill="1" applyBorder="1" applyAlignment="1">
      <alignment vertical="top"/>
    </xf>
    <xf numFmtId="49" fontId="22" fillId="9" borderId="1" xfId="0" applyNumberFormat="1" applyFont="1" applyFill="1" applyBorder="1" applyAlignment="1">
      <alignment horizontal="center" vertical="top"/>
    </xf>
    <xf numFmtId="49" fontId="22" fillId="0" borderId="4" xfId="0" applyNumberFormat="1" applyFont="1" applyFill="1" applyBorder="1" applyAlignment="1">
      <alignment horizontal="center" vertical="top"/>
    </xf>
    <xf numFmtId="49" fontId="15" fillId="4" borderId="1" xfId="0" applyNumberFormat="1" applyFont="1" applyFill="1" applyBorder="1" applyAlignment="1">
      <alignment horizontal="left" vertical="top"/>
    </xf>
    <xf numFmtId="0" fontId="22" fillId="9" borderId="1" xfId="0" applyFont="1" applyFill="1" applyBorder="1" applyAlignment="1">
      <alignment horizontal="left" vertical="top" wrapText="1" shrinkToFit="1"/>
    </xf>
    <xf numFmtId="3" fontId="22" fillId="0" borderId="1" xfId="0" applyNumberFormat="1" applyFont="1" applyFill="1" applyBorder="1" applyAlignment="1">
      <alignment horizontal="right" vertical="top" wrapText="1"/>
    </xf>
    <xf numFmtId="3" fontId="22" fillId="0" borderId="2" xfId="0" applyNumberFormat="1" applyFont="1" applyFill="1" applyBorder="1" applyAlignment="1">
      <alignment vertical="top" wrapText="1"/>
    </xf>
    <xf numFmtId="3" fontId="22" fillId="9" borderId="1" xfId="0" applyNumberFormat="1" applyFont="1" applyFill="1" applyBorder="1" applyAlignment="1">
      <alignment horizontal="right" vertical="top"/>
    </xf>
    <xf numFmtId="0" fontId="22" fillId="0" borderId="1" xfId="0" applyNumberFormat="1" applyFont="1" applyBorder="1" applyAlignment="1">
      <alignment vertical="top" wrapText="1"/>
    </xf>
    <xf numFmtId="4" fontId="22" fillId="0" borderId="4" xfId="0" applyNumberFormat="1" applyFont="1" applyFill="1" applyBorder="1" applyAlignment="1">
      <alignment horizontal="right" vertical="top"/>
    </xf>
    <xf numFmtId="3" fontId="22" fillId="0" borderId="4" xfId="0" applyNumberFormat="1" applyFont="1" applyFill="1" applyBorder="1" applyAlignment="1">
      <alignment horizontal="right" vertical="top"/>
    </xf>
    <xf numFmtId="3" fontId="22" fillId="0" borderId="5" xfId="0" applyNumberFormat="1" applyFont="1" applyFill="1" applyBorder="1" applyAlignment="1">
      <alignment horizontal="right" vertical="top"/>
    </xf>
    <xf numFmtId="0" fontId="58" fillId="0" borderId="0" xfId="0" applyFont="1" applyFill="1"/>
    <xf numFmtId="0" fontId="15" fillId="0" borderId="4" xfId="0" applyFont="1" applyFill="1" applyBorder="1" applyAlignment="1">
      <alignment horizontal="center" vertical="top"/>
    </xf>
    <xf numFmtId="0" fontId="15" fillId="0" borderId="4" xfId="0" applyNumberFormat="1" applyFont="1" applyBorder="1" applyAlignment="1">
      <alignment vertical="top" wrapText="1"/>
    </xf>
    <xf numFmtId="0" fontId="0" fillId="0" borderId="0" xfId="0" applyFont="1" applyFill="1" applyBorder="1"/>
    <xf numFmtId="0" fontId="15" fillId="0" borderId="0" xfId="0" applyFont="1" applyAlignment="1">
      <alignment wrapText="1"/>
    </xf>
    <xf numFmtId="0" fontId="31" fillId="0" borderId="1" xfId="5" applyFont="1" applyFill="1" applyBorder="1" applyAlignment="1">
      <alignment vertical="top" wrapText="1"/>
    </xf>
    <xf numFmtId="0" fontId="15" fillId="9" borderId="1" xfId="4" applyFont="1" applyFill="1" applyBorder="1" applyAlignment="1">
      <alignment horizontal="center" vertical="justify"/>
    </xf>
    <xf numFmtId="0" fontId="15" fillId="9" borderId="1" xfId="9" applyNumberFormat="1" applyFont="1" applyFill="1" applyBorder="1" applyAlignment="1">
      <alignment vertical="top" wrapText="1"/>
    </xf>
    <xf numFmtId="0" fontId="15" fillId="9" borderId="1" xfId="4" applyFont="1" applyFill="1" applyBorder="1" applyAlignment="1">
      <alignment horizontal="center" vertical="top"/>
    </xf>
    <xf numFmtId="0" fontId="15" fillId="11" borderId="1" xfId="0" applyFont="1" applyFill="1" applyBorder="1" applyAlignment="1">
      <alignment vertical="top" wrapText="1" shrinkToFit="1"/>
    </xf>
    <xf numFmtId="0" fontId="83" fillId="0" borderId="1" xfId="5" applyFont="1" applyFill="1" applyBorder="1" applyAlignment="1">
      <alignment vertical="center" wrapText="1"/>
    </xf>
    <xf numFmtId="0" fontId="31" fillId="9" borderId="1" xfId="5" applyFont="1" applyFill="1" applyBorder="1" applyAlignment="1">
      <alignment vertical="center" wrapText="1"/>
    </xf>
    <xf numFmtId="0" fontId="31" fillId="0" borderId="1" xfId="0" applyFont="1" applyFill="1" applyBorder="1" applyAlignment="1">
      <alignment vertical="center" wrapText="1"/>
    </xf>
    <xf numFmtId="3" fontId="15" fillId="9" borderId="1" xfId="0" applyNumberFormat="1" applyFont="1" applyFill="1" applyBorder="1" applyAlignment="1">
      <alignment horizontal="right" vertical="top" wrapText="1" shrinkToFit="1"/>
    </xf>
    <xf numFmtId="3" fontId="22" fillId="9" borderId="1" xfId="0" applyNumberFormat="1" applyFont="1" applyFill="1" applyBorder="1" applyAlignment="1">
      <alignment horizontal="right" vertical="top" wrapText="1" shrinkToFit="1"/>
    </xf>
    <xf numFmtId="0" fontId="22" fillId="0" borderId="1" xfId="0" applyFont="1" applyFill="1" applyBorder="1" applyAlignment="1">
      <alignment vertical="top" wrapText="1" shrinkToFit="1"/>
    </xf>
    <xf numFmtId="0" fontId="15" fillId="0" borderId="1" xfId="5" applyFont="1" applyFill="1" applyBorder="1" applyAlignment="1">
      <alignment vertical="top" wrapText="1"/>
    </xf>
    <xf numFmtId="0" fontId="31" fillId="0" borderId="1" xfId="0" applyFont="1" applyFill="1" applyBorder="1" applyAlignment="1">
      <alignment wrapText="1"/>
    </xf>
    <xf numFmtId="0" fontId="31" fillId="0" borderId="1" xfId="0" applyFont="1" applyFill="1" applyBorder="1" applyAlignment="1">
      <alignment vertical="top" wrapText="1"/>
    </xf>
    <xf numFmtId="0" fontId="31" fillId="0" borderId="3" xfId="5" applyFont="1" applyFill="1" applyBorder="1" applyAlignment="1">
      <alignment vertical="justify" wrapText="1"/>
    </xf>
    <xf numFmtId="0" fontId="31" fillId="0" borderId="3" xfId="5" applyFont="1" applyFill="1" applyBorder="1" applyAlignment="1">
      <alignment vertical="top" wrapText="1"/>
    </xf>
    <xf numFmtId="3" fontId="0" fillId="0" borderId="0" xfId="0" applyNumberFormat="1" applyFill="1" applyBorder="1"/>
    <xf numFmtId="0" fontId="22" fillId="0" borderId="1" xfId="0" applyFont="1" applyBorder="1" applyAlignment="1">
      <alignment wrapText="1"/>
    </xf>
    <xf numFmtId="4" fontId="15" fillId="9" borderId="1" xfId="4" applyNumberFormat="1" applyFont="1" applyFill="1" applyBorder="1"/>
    <xf numFmtId="0" fontId="11" fillId="9" borderId="0" xfId="4" applyFont="1" applyFill="1"/>
    <xf numFmtId="0" fontId="1" fillId="9" borderId="0" xfId="4" applyFont="1" applyFill="1"/>
    <xf numFmtId="3" fontId="13" fillId="0" borderId="0" xfId="0" applyNumberFormat="1" applyFont="1" applyFill="1"/>
    <xf numFmtId="0" fontId="84" fillId="0" borderId="6" xfId="0" applyFont="1" applyBorder="1" applyAlignment="1">
      <alignment horizontal="center" vertical="top" wrapText="1"/>
    </xf>
    <xf numFmtId="0" fontId="85" fillId="0" borderId="6" xfId="0" applyFont="1" applyBorder="1" applyAlignment="1">
      <alignment horizontal="center" vertical="top" wrapText="1"/>
    </xf>
    <xf numFmtId="0" fontId="85" fillId="0" borderId="8" xfId="0" applyFont="1" applyBorder="1" applyAlignment="1">
      <alignment horizontal="center" vertical="top" wrapText="1"/>
    </xf>
    <xf numFmtId="0" fontId="85" fillId="0" borderId="6" xfId="0" applyFont="1" applyBorder="1" applyAlignment="1">
      <alignment horizontal="center" vertical="center" wrapText="1"/>
    </xf>
    <xf numFmtId="3" fontId="84" fillId="0" borderId="6" xfId="0" applyNumberFormat="1" applyFont="1" applyFill="1" applyBorder="1" applyAlignment="1">
      <alignment horizontal="center" vertical="top" wrapText="1"/>
    </xf>
    <xf numFmtId="0" fontId="84" fillId="0" borderId="6" xfId="0" applyFont="1" applyFill="1" applyBorder="1" applyAlignment="1">
      <alignment horizontal="center" vertical="top" wrapText="1"/>
    </xf>
    <xf numFmtId="0" fontId="85" fillId="0" borderId="6" xfId="0" applyFont="1" applyFill="1" applyBorder="1" applyAlignment="1">
      <alignment horizontal="center" vertical="top" wrapText="1"/>
    </xf>
    <xf numFmtId="0" fontId="85" fillId="0" borderId="4" xfId="0" applyFont="1" applyBorder="1" applyAlignment="1">
      <alignment horizontal="center" vertical="top" wrapText="1"/>
    </xf>
    <xf numFmtId="0" fontId="86" fillId="0" borderId="6" xfId="0" applyFont="1" applyBorder="1" applyAlignment="1">
      <alignment vertical="center" wrapText="1"/>
    </xf>
    <xf numFmtId="0" fontId="84" fillId="0" borderId="0" xfId="0" applyFont="1"/>
    <xf numFmtId="0" fontId="84" fillId="0" borderId="9" xfId="0" applyFont="1" applyBorder="1" applyAlignment="1">
      <alignment wrapText="1"/>
    </xf>
    <xf numFmtId="0" fontId="84" fillId="0" borderId="6" xfId="0" applyFont="1" applyBorder="1" applyAlignment="1">
      <alignment wrapText="1"/>
    </xf>
    <xf numFmtId="0" fontId="84" fillId="0" borderId="6" xfId="0" applyFont="1" applyBorder="1" applyAlignment="1">
      <alignment horizontal="center" wrapText="1"/>
    </xf>
    <xf numFmtId="0" fontId="87" fillId="0" borderId="6" xfId="0" applyFont="1" applyBorder="1"/>
    <xf numFmtId="0" fontId="84" fillId="0" borderId="1" xfId="0" applyFont="1" applyBorder="1"/>
    <xf numFmtId="3" fontId="15" fillId="4" borderId="1" xfId="0" applyNumberFormat="1" applyFont="1" applyFill="1" applyBorder="1" applyAlignment="1">
      <alignment horizontal="right" vertical="top" wrapText="1" shrinkToFit="1"/>
    </xf>
    <xf numFmtId="4" fontId="15" fillId="4" borderId="1" xfId="0" applyNumberFormat="1" applyFont="1" applyFill="1" applyBorder="1" applyAlignment="1">
      <alignment vertical="top"/>
    </xf>
    <xf numFmtId="0" fontId="84" fillId="0" borderId="1" xfId="0" applyFont="1" applyFill="1" applyBorder="1" applyAlignment="1">
      <alignment horizontal="left" vertical="center" wrapText="1"/>
    </xf>
    <xf numFmtId="3" fontId="13" fillId="9" borderId="1" xfId="0" applyNumberFormat="1" applyFont="1" applyFill="1" applyBorder="1" applyAlignment="1">
      <alignment horizontal="right"/>
    </xf>
    <xf numFmtId="4" fontId="19" fillId="0" borderId="0" xfId="0" applyNumberFormat="1" applyFont="1" applyFill="1" applyBorder="1"/>
    <xf numFmtId="4" fontId="0" fillId="0" borderId="0" xfId="0" applyNumberFormat="1" applyFill="1"/>
    <xf numFmtId="4" fontId="28" fillId="0" borderId="1" xfId="0" applyNumberFormat="1" applyFont="1" applyFill="1" applyBorder="1" applyAlignment="1">
      <alignment horizontal="center"/>
    </xf>
    <xf numFmtId="3" fontId="31" fillId="0" borderId="1" xfId="5" applyNumberFormat="1" applyFont="1" applyFill="1" applyBorder="1" applyAlignment="1">
      <alignment horizontal="right" vertical="center" wrapText="1"/>
    </xf>
    <xf numFmtId="3" fontId="21" fillId="5" borderId="1" xfId="0" applyNumberFormat="1" applyFont="1" applyFill="1" applyBorder="1" applyAlignment="1">
      <alignment horizontal="right" vertical="top"/>
    </xf>
    <xf numFmtId="4" fontId="21" fillId="5" borderId="1" xfId="0" applyNumberFormat="1" applyFont="1" applyFill="1" applyBorder="1" applyAlignment="1">
      <alignment horizontal="right" vertical="top"/>
    </xf>
    <xf numFmtId="4" fontId="33" fillId="5" borderId="1" xfId="0" applyNumberFormat="1" applyFont="1" applyFill="1" applyBorder="1" applyAlignment="1">
      <alignment horizontal="right" vertical="top"/>
    </xf>
    <xf numFmtId="4" fontId="31" fillId="0" borderId="1" xfId="0" applyNumberFormat="1" applyFont="1" applyFill="1" applyBorder="1" applyAlignment="1">
      <alignment horizontal="right" vertical="top"/>
    </xf>
    <xf numFmtId="3" fontId="31" fillId="0" borderId="1" xfId="0" applyNumberFormat="1" applyFont="1" applyFill="1" applyBorder="1" applyAlignment="1">
      <alignment horizontal="right" vertical="top"/>
    </xf>
    <xf numFmtId="2" fontId="15" fillId="0" borderId="1" xfId="0" applyNumberFormat="1" applyFont="1" applyFill="1" applyBorder="1" applyAlignment="1">
      <alignment horizontal="right" vertical="top"/>
    </xf>
    <xf numFmtId="3" fontId="22" fillId="0" borderId="1" xfId="0" applyNumberFormat="1" applyFont="1" applyFill="1" applyBorder="1" applyAlignment="1">
      <alignment horizontal="right" vertical="center" wrapText="1" shrinkToFit="1"/>
    </xf>
    <xf numFmtId="0" fontId="15" fillId="4" borderId="1" xfId="0" applyFont="1" applyFill="1" applyBorder="1" applyAlignment="1">
      <alignment horizontal="right" vertical="top" wrapText="1" shrinkToFit="1"/>
    </xf>
    <xf numFmtId="0" fontId="22" fillId="0" borderId="1" xfId="0" applyFont="1" applyBorder="1" applyAlignment="1">
      <alignment horizontal="right" wrapText="1"/>
    </xf>
    <xf numFmtId="3" fontId="15" fillId="0" borderId="1" xfId="0" applyNumberFormat="1" applyFont="1" applyFill="1" applyBorder="1" applyAlignment="1">
      <alignment horizontal="right" vertical="center" wrapText="1" shrinkToFit="1"/>
    </xf>
    <xf numFmtId="3" fontId="31" fillId="0" borderId="1" xfId="0" applyNumberFormat="1" applyFont="1" applyFill="1" applyBorder="1" applyAlignment="1">
      <alignment horizontal="right" vertical="center" wrapText="1"/>
    </xf>
    <xf numFmtId="3" fontId="8" fillId="9" borderId="1" xfId="0" applyNumberFormat="1" applyFont="1" applyFill="1" applyBorder="1" applyAlignment="1">
      <alignment horizontal="right" vertical="center" wrapText="1"/>
    </xf>
    <xf numFmtId="49" fontId="88" fillId="9" borderId="1" xfId="0" applyNumberFormat="1" applyFont="1" applyFill="1" applyBorder="1" applyAlignment="1">
      <alignment horizontal="center" vertical="top"/>
    </xf>
    <xf numFmtId="4" fontId="31" fillId="9" borderId="1" xfId="0" applyNumberFormat="1" applyFont="1" applyFill="1" applyBorder="1" applyAlignment="1">
      <alignment vertical="top"/>
    </xf>
    <xf numFmtId="3" fontId="89" fillId="12" borderId="0" xfId="0" applyNumberFormat="1" applyFont="1" applyFill="1"/>
    <xf numFmtId="0" fontId="84" fillId="0" borderId="1" xfId="7" applyFont="1" applyFill="1" applyBorder="1" applyAlignment="1">
      <alignment horizontal="left" vertical="center" wrapText="1"/>
    </xf>
    <xf numFmtId="0" fontId="31" fillId="9" borderId="1" xfId="5" applyFont="1" applyFill="1" applyBorder="1" applyAlignment="1">
      <alignment vertical="top" wrapText="1"/>
    </xf>
    <xf numFmtId="0" fontId="90" fillId="9" borderId="1" xfId="0" applyFont="1" applyFill="1" applyBorder="1" applyAlignment="1">
      <alignment horizontal="left" vertical="center" wrapText="1"/>
    </xf>
    <xf numFmtId="3" fontId="90" fillId="9" borderId="1" xfId="7" applyNumberFormat="1" applyFont="1" applyFill="1" applyBorder="1" applyAlignment="1">
      <alignment horizontal="center" vertical="center" wrapText="1"/>
    </xf>
    <xf numFmtId="0" fontId="91" fillId="0" borderId="0" xfId="0" applyFont="1" applyFill="1"/>
    <xf numFmtId="4" fontId="91" fillId="0" borderId="0" xfId="0" applyNumberFormat="1" applyFont="1" applyFill="1"/>
    <xf numFmtId="3" fontId="92" fillId="3" borderId="0" xfId="0" applyNumberFormat="1" applyFont="1" applyFill="1"/>
    <xf numFmtId="4" fontId="39" fillId="5" borderId="0" xfId="0" applyNumberFormat="1" applyFont="1" applyFill="1" applyBorder="1"/>
    <xf numFmtId="3" fontId="39" fillId="5" borderId="0" xfId="0" applyNumberFormat="1" applyFont="1" applyFill="1" applyBorder="1"/>
    <xf numFmtId="0" fontId="17" fillId="0" borderId="0" xfId="0" applyFont="1" applyFill="1"/>
    <xf numFmtId="0" fontId="8" fillId="0" borderId="2" xfId="0" applyFont="1" applyBorder="1" applyAlignment="1">
      <alignment horizontal="center" vertical="center" wrapText="1"/>
    </xf>
    <xf numFmtId="0" fontId="8" fillId="9" borderId="3" xfId="0" applyFont="1" applyFill="1" applyBorder="1" applyAlignment="1">
      <alignment horizontal="left" wrapText="1"/>
    </xf>
    <xf numFmtId="3" fontId="13" fillId="0" borderId="1" xfId="0" applyNumberFormat="1" applyFont="1" applyFill="1" applyBorder="1" applyAlignment="1">
      <alignment vertical="center"/>
    </xf>
    <xf numFmtId="3" fontId="13" fillId="9" borderId="1" xfId="0" applyNumberFormat="1" applyFont="1" applyFill="1" applyBorder="1" applyAlignment="1">
      <alignment vertical="center" wrapText="1"/>
    </xf>
    <xf numFmtId="4" fontId="8" fillId="9" borderId="0" xfId="0" applyNumberFormat="1" applyFont="1" applyFill="1"/>
    <xf numFmtId="3" fontId="8" fillId="9" borderId="1" xfId="7" applyNumberFormat="1" applyFont="1" applyFill="1" applyBorder="1" applyAlignment="1">
      <alignment horizontal="right" vertical="center" wrapText="1"/>
    </xf>
    <xf numFmtId="3" fontId="8" fillId="9" borderId="1" xfId="0" applyNumberFormat="1" applyFont="1" applyFill="1" applyBorder="1"/>
    <xf numFmtId="0" fontId="8" fillId="9" borderId="1" xfId="0" applyFont="1" applyFill="1" applyBorder="1"/>
    <xf numFmtId="4" fontId="15" fillId="4" borderId="1" xfId="0" applyNumberFormat="1" applyFont="1" applyFill="1" applyBorder="1" applyAlignment="1">
      <alignment horizontal="right" vertical="top"/>
    </xf>
    <xf numFmtId="4" fontId="22" fillId="0" borderId="1" xfId="0" applyNumberFormat="1" applyFont="1" applyFill="1" applyBorder="1" applyAlignment="1">
      <alignment horizontal="right" vertical="top"/>
    </xf>
    <xf numFmtId="4" fontId="23" fillId="0" borderId="2" xfId="0" applyNumberFormat="1" applyFont="1" applyFill="1" applyBorder="1" applyAlignment="1">
      <alignment horizontal="right" vertical="top"/>
    </xf>
    <xf numFmtId="4" fontId="23" fillId="0" borderId="1" xfId="0" applyNumberFormat="1" applyFont="1" applyFill="1" applyBorder="1" applyAlignment="1">
      <alignment horizontal="right" vertical="top"/>
    </xf>
    <xf numFmtId="0" fontId="85" fillId="10" borderId="6" xfId="0" applyFont="1" applyFill="1" applyBorder="1" applyAlignment="1">
      <alignment horizontal="center" vertical="top" wrapText="1"/>
    </xf>
    <xf numFmtId="3" fontId="0" fillId="0" borderId="0" xfId="0" applyNumberFormat="1" applyFont="1" applyFill="1"/>
    <xf numFmtId="0" fontId="0" fillId="0" borderId="0" xfId="0" applyFont="1" applyFill="1"/>
    <xf numFmtId="0" fontId="31" fillId="0" borderId="1" xfId="5" applyFont="1" applyFill="1" applyBorder="1" applyAlignment="1">
      <alignment vertical="center" wrapText="1"/>
    </xf>
    <xf numFmtId="0" fontId="0" fillId="0" borderId="0" xfId="0" applyFont="1"/>
    <xf numFmtId="3" fontId="15" fillId="0" borderId="4" xfId="0" applyNumberFormat="1" applyFont="1" applyFill="1" applyBorder="1" applyAlignment="1">
      <alignment vertical="top" wrapText="1"/>
    </xf>
    <xf numFmtId="0" fontId="0" fillId="4" borderId="0" xfId="0" applyFont="1" applyFill="1"/>
    <xf numFmtId="4" fontId="0" fillId="3" borderId="0" xfId="0" applyNumberFormat="1" applyFont="1" applyFill="1"/>
    <xf numFmtId="49" fontId="0" fillId="0" borderId="0" xfId="0" applyNumberFormat="1" applyFont="1" applyFill="1"/>
    <xf numFmtId="0" fontId="0" fillId="3" borderId="0" xfId="0" applyFont="1" applyFill="1"/>
    <xf numFmtId="0" fontId="15" fillId="0" borderId="0" xfId="0" applyFont="1"/>
    <xf numFmtId="3" fontId="93" fillId="0" borderId="0" xfId="0" applyNumberFormat="1" applyFont="1" applyBorder="1" applyAlignment="1">
      <alignment horizontal="center" wrapText="1"/>
    </xf>
    <xf numFmtId="3" fontId="94" fillId="0" borderId="0" xfId="0" applyNumberFormat="1" applyFont="1"/>
    <xf numFmtId="3" fontId="93" fillId="0" borderId="1" xfId="0" applyNumberFormat="1" applyFont="1" applyBorder="1" applyAlignment="1">
      <alignment horizontal="center" wrapText="1"/>
    </xf>
    <xf numFmtId="3" fontId="95" fillId="0" borderId="0" xfId="0" applyNumberFormat="1" applyFont="1" applyBorder="1" applyAlignment="1">
      <alignment wrapText="1"/>
    </xf>
    <xf numFmtId="0" fontId="96" fillId="3" borderId="0" xfId="0" applyFont="1" applyFill="1"/>
    <xf numFmtId="3" fontId="95" fillId="0" borderId="1" xfId="0" applyNumberFormat="1" applyFont="1" applyBorder="1" applyAlignment="1">
      <alignment horizontal="center" wrapText="1"/>
    </xf>
    <xf numFmtId="3" fontId="96" fillId="0" borderId="1" xfId="0" applyNumberFormat="1" applyFont="1" applyBorder="1" applyAlignment="1">
      <alignment horizontal="center" wrapText="1"/>
    </xf>
    <xf numFmtId="3" fontId="95" fillId="0" borderId="0" xfId="0" applyNumberFormat="1" applyFont="1" applyBorder="1" applyAlignment="1">
      <alignment horizontal="center" wrapText="1"/>
    </xf>
    <xf numFmtId="3" fontId="96" fillId="0" borderId="0" xfId="0" applyNumberFormat="1" applyFont="1"/>
    <xf numFmtId="3" fontId="95" fillId="3" borderId="0" xfId="0" applyNumberFormat="1" applyFont="1" applyFill="1" applyBorder="1" applyAlignment="1">
      <alignment wrapText="1"/>
    </xf>
    <xf numFmtId="4" fontId="15" fillId="0" borderId="1" xfId="0" applyNumberFormat="1" applyFont="1" applyFill="1" applyBorder="1" applyAlignment="1">
      <alignment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0" fontId="84" fillId="9" borderId="1" xfId="0" applyFont="1" applyFill="1" applyBorder="1" applyAlignment="1">
      <alignment horizontal="left" vertical="center" wrapText="1"/>
    </xf>
    <xf numFmtId="3" fontId="84" fillId="0" borderId="1" xfId="7" applyNumberFormat="1" applyFont="1" applyFill="1" applyBorder="1" applyAlignment="1">
      <alignment horizontal="right" vertical="center"/>
    </xf>
    <xf numFmtId="3" fontId="84" fillId="0" borderId="1" xfId="0" applyNumberFormat="1" applyFont="1" applyFill="1" applyBorder="1" applyAlignment="1">
      <alignment horizontal="right" vertical="center"/>
    </xf>
    <xf numFmtId="3" fontId="15" fillId="4" borderId="1" xfId="0" applyNumberFormat="1" applyFont="1" applyFill="1" applyBorder="1" applyAlignment="1">
      <alignment vertical="top" wrapText="1" shrinkToFit="1"/>
    </xf>
    <xf numFmtId="4" fontId="1" fillId="0" borderId="0" xfId="4" applyNumberFormat="1" applyFont="1"/>
    <xf numFmtId="4" fontId="97" fillId="0" borderId="0" xfId="0" applyNumberFormat="1" applyFont="1" applyFill="1"/>
    <xf numFmtId="4" fontId="46" fillId="0" borderId="0" xfId="4" applyNumberFormat="1" applyFont="1"/>
    <xf numFmtId="3" fontId="8" fillId="9" borderId="1" xfId="7" applyNumberFormat="1" applyFont="1" applyFill="1" applyBorder="1" applyAlignment="1">
      <alignment vertical="center" wrapText="1"/>
    </xf>
    <xf numFmtId="3" fontId="13" fillId="9" borderId="1" xfId="0" applyNumberFormat="1" applyFont="1" applyFill="1" applyBorder="1" applyAlignment="1">
      <alignment vertical="center"/>
    </xf>
    <xf numFmtId="3" fontId="15" fillId="0" borderId="0" xfId="4" applyNumberFormat="1" applyFont="1" applyFill="1"/>
    <xf numFmtId="4" fontId="0" fillId="0" borderId="0" xfId="0" applyNumberFormat="1" applyFont="1" applyFill="1"/>
    <xf numFmtId="3" fontId="90" fillId="0" borderId="0" xfId="0" applyNumberFormat="1" applyFont="1" applyFill="1"/>
    <xf numFmtId="3" fontId="98" fillId="0" borderId="0" xfId="0" applyNumberFormat="1" applyFont="1"/>
    <xf numFmtId="0" fontId="62" fillId="13" borderId="0" xfId="0" applyFont="1" applyFill="1" applyBorder="1" applyAlignment="1">
      <alignment horizontal="center" vertical="center" wrapText="1"/>
    </xf>
    <xf numFmtId="3" fontId="99" fillId="0" borderId="1" xfId="0" applyNumberFormat="1" applyFont="1" applyBorder="1" applyAlignment="1">
      <alignment horizontal="right" wrapText="1"/>
    </xf>
    <xf numFmtId="4" fontId="0" fillId="0" borderId="0" xfId="0" applyNumberFormat="1" applyFont="1" applyFill="1" applyBorder="1"/>
    <xf numFmtId="0" fontId="31" fillId="0" borderId="3" xfId="0" applyFont="1" applyFill="1" applyBorder="1" applyAlignment="1">
      <alignment vertical="center" wrapText="1"/>
    </xf>
    <xf numFmtId="3" fontId="100" fillId="14" borderId="0" xfId="0" applyNumberFormat="1" applyFont="1" applyFill="1"/>
    <xf numFmtId="4" fontId="100" fillId="14" borderId="0" xfId="0" applyNumberFormat="1" applyFont="1" applyFill="1"/>
    <xf numFmtId="0" fontId="89" fillId="0" borderId="0" xfId="0" applyFont="1"/>
    <xf numFmtId="0" fontId="86" fillId="0" borderId="6" xfId="0" applyFont="1" applyFill="1" applyBorder="1" applyAlignment="1">
      <alignment horizontal="center" vertical="top" wrapText="1"/>
    </xf>
    <xf numFmtId="4" fontId="15" fillId="9" borderId="1" xfId="0" applyNumberFormat="1" applyFont="1" applyFill="1" applyBorder="1" applyAlignment="1">
      <alignment horizontal="right" vertical="top"/>
    </xf>
    <xf numFmtId="3" fontId="89" fillId="0" borderId="0" xfId="0" applyNumberFormat="1" applyFont="1" applyBorder="1" applyAlignment="1">
      <alignment wrapText="1"/>
    </xf>
    <xf numFmtId="3" fontId="89" fillId="0" borderId="1" xfId="0" applyNumberFormat="1" applyFont="1" applyBorder="1" applyAlignment="1">
      <alignment horizontal="center" wrapText="1"/>
    </xf>
    <xf numFmtId="4" fontId="23" fillId="0" borderId="1" xfId="4" applyNumberFormat="1" applyFont="1" applyBorder="1"/>
    <xf numFmtId="3" fontId="89" fillId="0" borderId="0" xfId="0" applyNumberFormat="1" applyFont="1" applyBorder="1" applyAlignment="1">
      <alignment horizontal="center" wrapText="1"/>
    </xf>
    <xf numFmtId="3" fontId="89" fillId="3" borderId="0" xfId="0" applyNumberFormat="1" applyFont="1" applyFill="1" applyBorder="1" applyAlignment="1">
      <alignment wrapText="1"/>
    </xf>
    <xf numFmtId="0" fontId="15" fillId="0" borderId="1" xfId="9" applyNumberFormat="1" applyFont="1" applyFill="1" applyBorder="1" applyAlignment="1">
      <alignment vertical="top" wrapText="1"/>
    </xf>
    <xf numFmtId="4" fontId="15" fillId="9" borderId="1" xfId="0" applyNumberFormat="1" applyFont="1" applyFill="1" applyBorder="1" applyAlignment="1">
      <alignment vertical="top"/>
    </xf>
    <xf numFmtId="4" fontId="21" fillId="0" borderId="2" xfId="0" applyNumberFormat="1" applyFont="1" applyFill="1" applyBorder="1" applyAlignment="1">
      <alignment vertical="top"/>
    </xf>
    <xf numFmtId="4" fontId="22" fillId="0" borderId="1" xfId="0" applyNumberFormat="1" applyFont="1" applyFill="1" applyBorder="1" applyAlignment="1">
      <alignment horizontal="right" vertical="top" wrapText="1"/>
    </xf>
    <xf numFmtId="4" fontId="15" fillId="0" borderId="2" xfId="0" applyNumberFormat="1" applyFont="1" applyFill="1" applyBorder="1" applyAlignment="1">
      <alignment horizontal="right" vertical="top" wrapText="1"/>
    </xf>
    <xf numFmtId="4" fontId="22" fillId="9" borderId="1" xfId="0" applyNumberFormat="1" applyFont="1" applyFill="1" applyBorder="1" applyAlignment="1">
      <alignment horizontal="right" vertical="top"/>
    </xf>
    <xf numFmtId="4" fontId="15" fillId="0" borderId="2" xfId="0" applyNumberFormat="1" applyFont="1" applyFill="1" applyBorder="1" applyAlignment="1">
      <alignment vertical="top" wrapText="1"/>
    </xf>
    <xf numFmtId="0" fontId="65" fillId="0" borderId="1" xfId="4" applyFont="1" applyBorder="1" applyAlignment="1">
      <alignment horizontal="center"/>
    </xf>
    <xf numFmtId="3" fontId="13" fillId="9" borderId="0" xfId="0" applyNumberFormat="1" applyFont="1" applyFill="1" applyBorder="1" applyAlignment="1">
      <alignment horizontal="right"/>
    </xf>
    <xf numFmtId="3" fontId="100" fillId="0" borderId="0" xfId="0" applyNumberFormat="1" applyFont="1" applyFill="1"/>
    <xf numFmtId="3" fontId="93" fillId="0" borderId="0" xfId="0" applyNumberFormat="1" applyFont="1" applyBorder="1" applyAlignment="1">
      <alignment wrapText="1"/>
    </xf>
    <xf numFmtId="3" fontId="94" fillId="3" borderId="0" xfId="0" applyNumberFormat="1" applyFont="1" applyFill="1"/>
    <xf numFmtId="3" fontId="8" fillId="9" borderId="1" xfId="7" applyNumberFormat="1" applyFont="1" applyFill="1" applyBorder="1" applyAlignment="1">
      <alignment vertical="center"/>
    </xf>
    <xf numFmtId="3" fontId="8" fillId="0" borderId="1" xfId="7" applyNumberFormat="1" applyFont="1" applyFill="1" applyBorder="1" applyAlignment="1">
      <alignment vertical="center"/>
    </xf>
    <xf numFmtId="49" fontId="88" fillId="0" borderId="1" xfId="0" applyNumberFormat="1" applyFont="1" applyFill="1" applyBorder="1" applyAlignment="1">
      <alignment horizontal="center" vertical="top"/>
    </xf>
    <xf numFmtId="0" fontId="88" fillId="0" borderId="1" xfId="0" applyFont="1" applyBorder="1" applyAlignment="1">
      <alignment wrapText="1"/>
    </xf>
    <xf numFmtId="4" fontId="101" fillId="5" borderId="6" xfId="0" applyNumberFormat="1" applyFont="1" applyFill="1" applyBorder="1" applyAlignment="1">
      <alignment horizontal="right" vertical="top"/>
    </xf>
    <xf numFmtId="4" fontId="102" fillId="5" borderId="0" xfId="0" applyNumberFormat="1" applyFont="1" applyFill="1" applyBorder="1"/>
    <xf numFmtId="3" fontId="103" fillId="5" borderId="0" xfId="0" applyNumberFormat="1" applyFont="1" applyFill="1" applyBorder="1"/>
    <xf numFmtId="0" fontId="102" fillId="0" borderId="0" xfId="0" applyFont="1" applyFill="1" applyBorder="1"/>
    <xf numFmtId="49" fontId="85" fillId="0" borderId="1" xfId="0" applyNumberFormat="1" applyFont="1" applyFill="1" applyBorder="1" applyAlignment="1">
      <alignment horizontal="center" vertical="top"/>
    </xf>
    <xf numFmtId="0" fontId="85" fillId="0" borderId="1" xfId="0" applyFont="1" applyBorder="1" applyAlignment="1">
      <alignment wrapText="1"/>
    </xf>
    <xf numFmtId="3" fontId="104" fillId="0" borderId="0" xfId="0" applyNumberFormat="1" applyFont="1"/>
    <xf numFmtId="3" fontId="81" fillId="0" borderId="0" xfId="0" applyNumberFormat="1" applyFont="1"/>
    <xf numFmtId="4" fontId="105" fillId="0" borderId="1" xfId="0" applyNumberFormat="1" applyFont="1" applyFill="1" applyBorder="1" applyAlignment="1">
      <alignment horizontal="right" vertical="center" wrapText="1"/>
    </xf>
    <xf numFmtId="3" fontId="84" fillId="0" borderId="1" xfId="0" applyNumberFormat="1" applyFont="1" applyFill="1" applyBorder="1" applyAlignment="1">
      <alignment horizontal="right" vertical="center" wrapText="1"/>
    </xf>
    <xf numFmtId="3" fontId="8" fillId="0" borderId="1" xfId="0" applyNumberFormat="1" applyFont="1" applyFill="1" applyBorder="1" applyAlignment="1">
      <alignment vertical="center"/>
    </xf>
    <xf numFmtId="3" fontId="8" fillId="9" borderId="1" xfId="0" applyNumberFormat="1" applyFont="1" applyFill="1" applyBorder="1" applyAlignment="1">
      <alignment vertical="center" wrapText="1"/>
    </xf>
    <xf numFmtId="4" fontId="8" fillId="9" borderId="1" xfId="7" applyNumberFormat="1" applyFont="1" applyFill="1" applyBorder="1" applyAlignment="1">
      <alignment vertical="center" wrapText="1"/>
    </xf>
    <xf numFmtId="4" fontId="8" fillId="9" borderId="1" xfId="9" applyNumberFormat="1" applyFont="1" applyFill="1" applyBorder="1" applyAlignment="1">
      <alignment vertical="center"/>
    </xf>
    <xf numFmtId="3" fontId="8" fillId="9" borderId="1" xfId="0" applyNumberFormat="1" applyFont="1" applyFill="1" applyBorder="1" applyAlignment="1">
      <alignment vertical="center"/>
    </xf>
    <xf numFmtId="179" fontId="8" fillId="9" borderId="1" xfId="7" applyNumberFormat="1" applyFont="1" applyFill="1" applyBorder="1" applyAlignment="1">
      <alignment vertical="center" wrapText="1"/>
    </xf>
    <xf numFmtId="179" fontId="8" fillId="9" borderId="1" xfId="9" applyNumberFormat="1" applyFont="1" applyFill="1" applyBorder="1" applyAlignment="1">
      <alignment vertical="center"/>
    </xf>
    <xf numFmtId="179" fontId="8" fillId="9" borderId="1" xfId="0" applyNumberFormat="1" applyFont="1" applyFill="1" applyBorder="1" applyAlignment="1">
      <alignment vertical="center"/>
    </xf>
    <xf numFmtId="0" fontId="106" fillId="0" borderId="0" xfId="0" applyFont="1" applyAlignment="1">
      <alignment horizontal="centerContinuous" wrapText="1"/>
    </xf>
    <xf numFmtId="0" fontId="106" fillId="9" borderId="0" xfId="0" applyFont="1" applyFill="1" applyAlignment="1">
      <alignment horizontal="centerContinuous"/>
    </xf>
    <xf numFmtId="0" fontId="84" fillId="9" borderId="0" xfId="0" applyFont="1" applyFill="1" applyAlignment="1"/>
    <xf numFmtId="0" fontId="84" fillId="0" borderId="0" xfId="0" applyFont="1" applyFill="1"/>
    <xf numFmtId="0" fontId="106" fillId="0" borderId="0" xfId="0" applyFont="1" applyAlignment="1">
      <alignment horizontal="left" wrapText="1"/>
    </xf>
    <xf numFmtId="0" fontId="106" fillId="9" borderId="0" xfId="0" applyFont="1" applyFill="1" applyAlignment="1">
      <alignment horizontal="left"/>
    </xf>
    <xf numFmtId="0" fontId="107" fillId="0" borderId="0" xfId="0" applyFont="1" applyBorder="1" applyAlignment="1">
      <alignment horizontal="center" wrapText="1"/>
    </xf>
    <xf numFmtId="0" fontId="107" fillId="9" borderId="0" xfId="0" applyFont="1" applyFill="1" applyBorder="1" applyAlignment="1">
      <alignment horizontal="center"/>
    </xf>
    <xf numFmtId="0" fontId="84" fillId="0" borderId="0" xfId="0" applyFont="1" applyFill="1" applyAlignment="1">
      <alignment horizontal="right"/>
    </xf>
    <xf numFmtId="0" fontId="84" fillId="0" borderId="1" xfId="0" applyFont="1" applyBorder="1" applyAlignment="1">
      <alignment horizontal="center" vertical="center" wrapText="1"/>
    </xf>
    <xf numFmtId="0" fontId="84" fillId="9" borderId="1" xfId="0" applyFont="1" applyFill="1" applyBorder="1" applyAlignment="1">
      <alignment horizontal="center" vertical="center" wrapText="1"/>
    </xf>
    <xf numFmtId="0" fontId="84" fillId="9" borderId="1" xfId="0" applyFont="1" applyFill="1" applyBorder="1" applyAlignment="1">
      <alignment horizontal="center" vertical="top" wrapText="1"/>
    </xf>
    <xf numFmtId="0" fontId="84" fillId="0" borderId="1" xfId="0" applyFont="1" applyFill="1" applyBorder="1" applyAlignment="1">
      <alignment horizontal="center" vertical="top" wrapText="1"/>
    </xf>
    <xf numFmtId="0" fontId="84" fillId="0" borderId="1" xfId="0" applyFont="1" applyBorder="1" applyAlignment="1">
      <alignment horizontal="center" vertical="center" wrapText="1"/>
    </xf>
    <xf numFmtId="0" fontId="84" fillId="0" borderId="1" xfId="0" applyFont="1" applyFill="1" applyBorder="1" applyAlignment="1">
      <alignment wrapText="1"/>
    </xf>
    <xf numFmtId="3" fontId="84" fillId="0" borderId="1" xfId="0" applyNumberFormat="1" applyFont="1" applyFill="1" applyBorder="1" applyAlignment="1">
      <alignment vertical="center"/>
    </xf>
    <xf numFmtId="3" fontId="84" fillId="0" borderId="1" xfId="7" applyNumberFormat="1" applyFont="1" applyFill="1" applyBorder="1" applyAlignment="1">
      <alignment vertical="center" wrapText="1"/>
    </xf>
    <xf numFmtId="3" fontId="84" fillId="0" borderId="1" xfId="0" applyNumberFormat="1" applyFont="1" applyFill="1" applyBorder="1" applyAlignment="1">
      <alignment vertical="center" wrapText="1"/>
    </xf>
    <xf numFmtId="3" fontId="84" fillId="9" borderId="1" xfId="7" applyNumberFormat="1" applyFont="1" applyFill="1" applyBorder="1" applyAlignment="1">
      <alignment vertical="center" wrapText="1"/>
    </xf>
    <xf numFmtId="3" fontId="84" fillId="9" borderId="1" xfId="0" applyNumberFormat="1" applyFont="1" applyFill="1" applyBorder="1" applyAlignment="1">
      <alignment vertical="center" wrapText="1"/>
    </xf>
    <xf numFmtId="0" fontId="108" fillId="0" borderId="0" xfId="0" applyFont="1"/>
    <xf numFmtId="0" fontId="104" fillId="0" borderId="0" xfId="0" applyFont="1"/>
    <xf numFmtId="3" fontId="84" fillId="3" borderId="0" xfId="0" applyNumberFormat="1" applyFont="1" applyFill="1"/>
    <xf numFmtId="0" fontId="84" fillId="3" borderId="0" xfId="0" applyFont="1" applyFill="1"/>
    <xf numFmtId="0" fontId="86" fillId="0" borderId="1" xfId="0" applyFont="1" applyFill="1" applyBorder="1" applyAlignment="1">
      <alignment wrapText="1"/>
    </xf>
    <xf numFmtId="3" fontId="86" fillId="0" borderId="1" xfId="0" applyNumberFormat="1" applyFont="1" applyFill="1" applyBorder="1" applyAlignment="1">
      <alignment vertical="center"/>
    </xf>
    <xf numFmtId="0" fontId="86" fillId="0" borderId="0" xfId="0" applyFont="1"/>
    <xf numFmtId="0" fontId="84" fillId="10" borderId="0" xfId="0" applyFont="1" applyFill="1"/>
    <xf numFmtId="1" fontId="86" fillId="9" borderId="1" xfId="0" applyNumberFormat="1" applyFont="1" applyFill="1" applyBorder="1" applyAlignment="1">
      <alignment wrapText="1"/>
    </xf>
    <xf numFmtId="3" fontId="86" fillId="9" borderId="1" xfId="0" applyNumberFormat="1" applyFont="1" applyFill="1" applyBorder="1" applyAlignment="1">
      <alignment vertical="center" wrapText="1"/>
    </xf>
    <xf numFmtId="0" fontId="86" fillId="9" borderId="1" xfId="0" applyFont="1" applyFill="1" applyBorder="1" applyAlignment="1">
      <alignment wrapText="1"/>
    </xf>
    <xf numFmtId="0" fontId="84" fillId="0" borderId="1" xfId="0" applyFont="1" applyFill="1" applyBorder="1" applyAlignment="1">
      <alignment horizontal="center" vertical="center" wrapText="1"/>
    </xf>
    <xf numFmtId="3" fontId="84" fillId="0" borderId="1" xfId="7" applyNumberFormat="1" applyFont="1" applyFill="1" applyBorder="1" applyAlignment="1">
      <alignment vertical="center"/>
    </xf>
    <xf numFmtId="3" fontId="86" fillId="0" borderId="1" xfId="0" applyNumberFormat="1" applyFont="1" applyFill="1" applyBorder="1" applyAlignment="1">
      <alignment vertical="center" wrapText="1"/>
    </xf>
    <xf numFmtId="3" fontId="84" fillId="9" borderId="1" xfId="0" applyNumberFormat="1" applyFont="1" applyFill="1" applyBorder="1" applyAlignment="1">
      <alignment vertical="center"/>
    </xf>
    <xf numFmtId="0" fontId="84" fillId="0" borderId="6" xfId="0" applyFont="1" applyBorder="1" applyAlignment="1">
      <alignment horizontal="center" vertical="center" wrapText="1"/>
    </xf>
    <xf numFmtId="4" fontId="84" fillId="9" borderId="1" xfId="7" applyNumberFormat="1" applyFont="1" applyFill="1" applyBorder="1" applyAlignment="1">
      <alignment vertical="center" wrapText="1"/>
    </xf>
    <xf numFmtId="3" fontId="86" fillId="9" borderId="1" xfId="0" applyNumberFormat="1" applyFont="1" applyFill="1" applyBorder="1" applyAlignment="1">
      <alignment vertical="center"/>
    </xf>
    <xf numFmtId="0" fontId="84" fillId="0" borderId="1" xfId="0" applyFont="1" applyFill="1" applyBorder="1" applyAlignment="1">
      <alignment vertical="center" wrapText="1"/>
    </xf>
    <xf numFmtId="3" fontId="84" fillId="9" borderId="1" xfId="7" applyNumberFormat="1" applyFont="1" applyFill="1" applyBorder="1" applyAlignment="1">
      <alignment vertical="center"/>
    </xf>
    <xf numFmtId="3" fontId="84" fillId="0" borderId="1" xfId="7" applyNumberFormat="1" applyFont="1" applyFill="1" applyBorder="1" applyAlignment="1">
      <alignment horizontal="left" vertical="center" wrapText="1"/>
    </xf>
    <xf numFmtId="3" fontId="84" fillId="0" borderId="1" xfId="8" applyNumberFormat="1" applyFont="1" applyFill="1" applyBorder="1" applyAlignment="1">
      <alignment vertical="center"/>
    </xf>
    <xf numFmtId="0" fontId="84" fillId="9" borderId="1" xfId="0" applyFont="1" applyFill="1" applyBorder="1" applyAlignment="1">
      <alignment horizontal="center" vertical="center" wrapText="1"/>
    </xf>
    <xf numFmtId="0" fontId="84" fillId="9" borderId="0" xfId="0" applyFont="1" applyFill="1"/>
    <xf numFmtId="3" fontId="84" fillId="9" borderId="0" xfId="7" applyNumberFormat="1" applyFont="1" applyFill="1" applyBorder="1" applyAlignment="1">
      <alignment horizontal="left" vertical="center" wrapText="1"/>
    </xf>
    <xf numFmtId="3" fontId="84" fillId="9" borderId="0" xfId="7" applyNumberFormat="1" applyFont="1" applyFill="1" applyBorder="1" applyAlignment="1">
      <alignment horizontal="center" vertical="center" wrapText="1"/>
    </xf>
    <xf numFmtId="0" fontId="84" fillId="10" borderId="0" xfId="0" applyFont="1" applyFill="1" applyBorder="1" applyAlignment="1">
      <alignment horizontal="left" vertical="center" wrapText="1"/>
    </xf>
    <xf numFmtId="0" fontId="84" fillId="9" borderId="1" xfId="0" applyFont="1" applyFill="1" applyBorder="1" applyAlignment="1">
      <alignment wrapText="1"/>
    </xf>
    <xf numFmtId="0" fontId="86" fillId="3" borderId="0" xfId="0" applyFont="1" applyFill="1"/>
    <xf numFmtId="49" fontId="84" fillId="0" borderId="10" xfId="0" applyNumberFormat="1" applyFont="1" applyFill="1" applyBorder="1" applyAlignment="1">
      <alignment wrapText="1"/>
    </xf>
    <xf numFmtId="0" fontId="86" fillId="0" borderId="0" xfId="0" applyFont="1" applyBorder="1" applyAlignment="1">
      <alignment horizontal="center" wrapText="1"/>
    </xf>
    <xf numFmtId="3" fontId="86" fillId="9" borderId="0" xfId="0" applyNumberFormat="1" applyFont="1" applyFill="1" applyBorder="1" applyAlignment="1">
      <alignment horizontal="right" vertical="center"/>
    </xf>
    <xf numFmtId="0" fontId="84" fillId="0" borderId="0" xfId="4" applyFont="1" applyBorder="1"/>
    <xf numFmtId="0" fontId="84" fillId="9" borderId="0" xfId="4" applyFont="1" applyFill="1" applyBorder="1"/>
    <xf numFmtId="0" fontId="109" fillId="9" borderId="0" xfId="4" applyFont="1" applyFill="1"/>
    <xf numFmtId="0" fontId="86" fillId="9" borderId="0" xfId="4" applyFont="1" applyFill="1" applyBorder="1"/>
    <xf numFmtId="0" fontId="84" fillId="0" borderId="0" xfId="0" applyFont="1" applyAlignment="1">
      <alignment wrapText="1"/>
    </xf>
    <xf numFmtId="0" fontId="86" fillId="0" borderId="0" xfId="0" applyFont="1" applyAlignment="1">
      <alignment wrapText="1"/>
    </xf>
    <xf numFmtId="0" fontId="86" fillId="9" borderId="0" xfId="0" applyFont="1" applyFill="1"/>
    <xf numFmtId="3" fontId="86" fillId="9" borderId="0" xfId="0" applyNumberFormat="1" applyFont="1" applyFill="1"/>
    <xf numFmtId="3" fontId="84" fillId="9" borderId="0" xfId="0" applyNumberFormat="1" applyFont="1" applyFill="1"/>
    <xf numFmtId="3" fontId="84" fillId="9" borderId="1" xfId="0" applyNumberFormat="1" applyFont="1" applyFill="1" applyBorder="1"/>
    <xf numFmtId="0" fontId="84" fillId="9" borderId="1" xfId="0" applyFont="1" applyFill="1" applyBorder="1"/>
    <xf numFmtId="0" fontId="84" fillId="0" borderId="1" xfId="0" applyFont="1" applyFill="1" applyBorder="1"/>
    <xf numFmtId="3" fontId="84" fillId="0" borderId="0" xfId="0" applyNumberFormat="1" applyFont="1"/>
    <xf numFmtId="0" fontId="84" fillId="0" borderId="0" xfId="0" applyFont="1" applyAlignment="1"/>
    <xf numFmtId="0" fontId="84" fillId="9" borderId="0" xfId="0" applyFont="1" applyFill="1" applyBorder="1" applyAlignment="1">
      <alignment horizontal="left" vertical="center" wrapText="1"/>
    </xf>
    <xf numFmtId="0" fontId="106" fillId="0" borderId="0" xfId="0" applyFont="1" applyAlignment="1">
      <alignment horizontal="center"/>
    </xf>
    <xf numFmtId="0" fontId="85" fillId="0" borderId="3" xfId="0" applyFont="1" applyBorder="1" applyAlignment="1">
      <alignment horizontal="center" vertical="top" wrapText="1"/>
    </xf>
    <xf numFmtId="0" fontId="85" fillId="0" borderId="1" xfId="0" applyFont="1" applyBorder="1" applyAlignment="1">
      <alignment horizontal="center" vertical="top" wrapText="1"/>
    </xf>
    <xf numFmtId="3" fontId="84" fillId="9" borderId="1" xfId="7" applyNumberFormat="1" applyFont="1" applyFill="1" applyBorder="1" applyAlignment="1">
      <alignment horizontal="left" vertical="center" wrapText="1"/>
    </xf>
    <xf numFmtId="3" fontId="84" fillId="9" borderId="1" xfId="7" applyNumberFormat="1" applyFont="1" applyFill="1" applyBorder="1" applyAlignment="1">
      <alignment horizontal="right" vertical="center" wrapText="1"/>
    </xf>
    <xf numFmtId="3" fontId="86" fillId="0" borderId="1" xfId="0" applyNumberFormat="1" applyFont="1" applyBorder="1" applyAlignment="1">
      <alignment horizontal="center" wrapText="1"/>
    </xf>
    <xf numFmtId="3" fontId="86" fillId="9" borderId="1" xfId="0" applyNumberFormat="1" applyFont="1" applyFill="1" applyBorder="1" applyAlignment="1">
      <alignment horizontal="right" vertical="center" wrapText="1"/>
    </xf>
    <xf numFmtId="3" fontId="84" fillId="9" borderId="1" xfId="7" applyNumberFormat="1" applyFont="1" applyFill="1" applyBorder="1" applyAlignment="1">
      <alignment horizontal="right" vertical="center"/>
    </xf>
    <xf numFmtId="3" fontId="86" fillId="9" borderId="1" xfId="0" applyNumberFormat="1" applyFont="1" applyFill="1" applyBorder="1" applyAlignment="1">
      <alignment horizontal="right" vertical="center"/>
    </xf>
    <xf numFmtId="3" fontId="84" fillId="9" borderId="1" xfId="0" applyNumberFormat="1" applyFont="1" applyFill="1" applyBorder="1" applyAlignment="1">
      <alignment horizontal="right" vertical="center"/>
    </xf>
    <xf numFmtId="3" fontId="86" fillId="0" borderId="0" xfId="0" applyNumberFormat="1" applyFont="1" applyBorder="1" applyAlignment="1">
      <alignment horizontal="center" wrapText="1"/>
    </xf>
    <xf numFmtId="3" fontId="84" fillId="9" borderId="1" xfId="0" applyNumberFormat="1" applyFont="1" applyFill="1" applyBorder="1" applyAlignment="1">
      <alignment horizontal="right" vertical="center" wrapText="1"/>
    </xf>
    <xf numFmtId="0" fontId="84" fillId="0" borderId="9" xfId="0" applyFont="1" applyBorder="1" applyAlignment="1">
      <alignment horizontal="center" vertical="center" wrapText="1"/>
    </xf>
    <xf numFmtId="0" fontId="86" fillId="9" borderId="3" xfId="0" applyFont="1" applyFill="1" applyBorder="1" applyAlignment="1">
      <alignment wrapText="1"/>
    </xf>
    <xf numFmtId="4" fontId="86" fillId="9" borderId="1" xfId="0" applyNumberFormat="1" applyFont="1" applyFill="1" applyBorder="1" applyAlignment="1">
      <alignment horizontal="right" vertical="center"/>
    </xf>
    <xf numFmtId="0" fontId="84" fillId="0" borderId="0" xfId="0" applyFont="1" applyBorder="1" applyAlignment="1">
      <alignment horizontal="center" vertical="center" wrapText="1"/>
    </xf>
    <xf numFmtId="0" fontId="86" fillId="9" borderId="0" xfId="0" applyFont="1" applyFill="1" applyBorder="1" applyAlignment="1">
      <alignment wrapText="1"/>
    </xf>
    <xf numFmtId="4" fontId="86" fillId="9" borderId="0" xfId="0" applyNumberFormat="1" applyFont="1" applyFill="1" applyBorder="1" applyAlignment="1">
      <alignment horizontal="center" wrapText="1"/>
    </xf>
    <xf numFmtId="4" fontId="109" fillId="9" borderId="0" xfId="4" applyNumberFormat="1" applyFont="1" applyFill="1"/>
    <xf numFmtId="4" fontId="86" fillId="9" borderId="0" xfId="4" applyNumberFormat="1" applyFont="1" applyFill="1" applyBorder="1"/>
    <xf numFmtId="4" fontId="84" fillId="9" borderId="0" xfId="4" applyNumberFormat="1" applyFont="1" applyFill="1" applyBorder="1"/>
    <xf numFmtId="4" fontId="84" fillId="9" borderId="0" xfId="0" applyNumberFormat="1" applyFont="1" applyFill="1"/>
    <xf numFmtId="0" fontId="104" fillId="0" borderId="0" xfId="4" applyFont="1"/>
    <xf numFmtId="4" fontId="86" fillId="9" borderId="0" xfId="0" applyNumberFormat="1" applyFont="1" applyFill="1"/>
    <xf numFmtId="4" fontId="86" fillId="0" borderId="0" xfId="0" applyNumberFormat="1" applyFont="1" applyFill="1"/>
    <xf numFmtId="4" fontId="84" fillId="0" borderId="0" xfId="0" applyNumberFormat="1" applyFont="1" applyFill="1"/>
    <xf numFmtId="4" fontId="84" fillId="0" borderId="1" xfId="7" applyNumberFormat="1" applyFont="1" applyFill="1" applyBorder="1" applyAlignment="1">
      <alignment vertical="center"/>
    </xf>
    <xf numFmtId="4" fontId="86" fillId="9" borderId="1" xfId="0" applyNumberFormat="1" applyFont="1" applyFill="1" applyBorder="1" applyAlignment="1">
      <alignment vertical="center" wrapText="1"/>
    </xf>
    <xf numFmtId="4" fontId="86" fillId="9" borderId="1" xfId="0" applyNumberFormat="1" applyFont="1" applyFill="1" applyBorder="1" applyAlignment="1">
      <alignment vertical="center"/>
    </xf>
    <xf numFmtId="3" fontId="86" fillId="9" borderId="0" xfId="0" applyNumberFormat="1" applyFont="1" applyFill="1" applyBorder="1" applyAlignment="1">
      <alignment horizontal="center" wrapText="1"/>
    </xf>
    <xf numFmtId="3" fontId="86" fillId="9" borderId="1" xfId="0" applyNumberFormat="1" applyFont="1" applyFill="1" applyBorder="1" applyAlignment="1">
      <alignment wrapText="1"/>
    </xf>
    <xf numFmtId="0" fontId="84" fillId="9" borderId="1" xfId="0" applyFont="1" applyFill="1" applyBorder="1" applyAlignment="1">
      <alignment vertical="center" wrapText="1"/>
    </xf>
    <xf numFmtId="3" fontId="84" fillId="9" borderId="1" xfId="8" applyNumberFormat="1" applyFont="1" applyFill="1" applyBorder="1" applyAlignment="1">
      <alignment horizontal="right" vertical="center"/>
    </xf>
    <xf numFmtId="3" fontId="84" fillId="0" borderId="1" xfId="8" applyNumberFormat="1" applyFont="1" applyFill="1" applyBorder="1" applyAlignment="1">
      <alignment horizontal="right" vertical="center"/>
    </xf>
    <xf numFmtId="3" fontId="84" fillId="9" borderId="1" xfId="8" applyNumberFormat="1" applyFont="1" applyFill="1" applyBorder="1" applyAlignment="1">
      <alignment horizontal="right" vertical="center" wrapText="1"/>
    </xf>
    <xf numFmtId="0" fontId="84" fillId="9" borderId="1" xfId="0" applyFont="1" applyFill="1" applyBorder="1" applyAlignment="1">
      <alignment horizontal="left" wrapText="1"/>
    </xf>
    <xf numFmtId="3" fontId="86" fillId="9" borderId="1" xfId="0" applyNumberFormat="1" applyFont="1" applyFill="1" applyBorder="1" applyAlignment="1">
      <alignment horizontal="right"/>
    </xf>
    <xf numFmtId="3" fontId="86" fillId="0" borderId="0" xfId="0" applyNumberFormat="1" applyFont="1" applyFill="1"/>
    <xf numFmtId="3" fontId="84" fillId="0" borderId="0" xfId="0" applyNumberFormat="1" applyFont="1" applyFill="1"/>
    <xf numFmtId="0" fontId="84" fillId="9" borderId="1" xfId="0" applyFont="1" applyFill="1" applyBorder="1" applyAlignment="1">
      <alignment horizontal="right" vertical="center" wrapText="1"/>
    </xf>
    <xf numFmtId="3" fontId="86" fillId="9" borderId="1" xfId="0" applyNumberFormat="1" applyFont="1" applyFill="1" applyBorder="1" applyAlignment="1">
      <alignment horizontal="right" wrapText="1"/>
    </xf>
    <xf numFmtId="3" fontId="84" fillId="9" borderId="1" xfId="0" applyNumberFormat="1" applyFont="1" applyFill="1" applyBorder="1" applyAlignment="1">
      <alignment horizontal="right" wrapText="1"/>
    </xf>
    <xf numFmtId="4" fontId="88" fillId="0" borderId="1" xfId="0" applyNumberFormat="1" applyFont="1" applyFill="1" applyBorder="1" applyAlignment="1">
      <alignment horizontal="right" vertical="top"/>
    </xf>
    <xf numFmtId="4" fontId="88" fillId="0" borderId="1" xfId="0" applyNumberFormat="1" applyFont="1" applyFill="1" applyBorder="1" applyAlignment="1">
      <alignment horizontal="right" vertical="top" wrapText="1"/>
    </xf>
    <xf numFmtId="4" fontId="88" fillId="9" borderId="1" xfId="0" applyNumberFormat="1" applyFont="1" applyFill="1" applyBorder="1" applyAlignment="1">
      <alignment horizontal="right" vertical="top"/>
    </xf>
    <xf numFmtId="4" fontId="85" fillId="0" borderId="1" xfId="0" applyNumberFormat="1" applyFont="1" applyFill="1" applyBorder="1" applyAlignment="1">
      <alignment horizontal="right" vertical="top"/>
    </xf>
    <xf numFmtId="4" fontId="85" fillId="0" borderId="1" xfId="0" applyNumberFormat="1" applyFont="1" applyFill="1" applyBorder="1" applyAlignment="1">
      <alignment horizontal="right" vertical="top" wrapText="1"/>
    </xf>
    <xf numFmtId="4" fontId="85" fillId="9" borderId="1" xfId="0" applyNumberFormat="1" applyFont="1" applyFill="1" applyBorder="1" applyAlignment="1">
      <alignment horizontal="right" vertical="top"/>
    </xf>
    <xf numFmtId="49" fontId="110" fillId="0" borderId="0" xfId="0" applyNumberFormat="1" applyFont="1" applyFill="1"/>
    <xf numFmtId="0" fontId="110" fillId="0" borderId="0" xfId="0" applyFont="1" applyFill="1"/>
    <xf numFmtId="0" fontId="104" fillId="0" borderId="0" xfId="0" applyFont="1" applyFill="1"/>
    <xf numFmtId="0" fontId="110" fillId="0" borderId="0" xfId="0" applyFont="1" applyFill="1" applyAlignment="1"/>
    <xf numFmtId="0" fontId="104" fillId="0" borderId="0" xfId="0" applyFont="1" applyFill="1" applyBorder="1"/>
    <xf numFmtId="0" fontId="110" fillId="0" borderId="0" xfId="0" applyFont="1" applyFill="1" applyAlignment="1">
      <alignment horizontal="center"/>
    </xf>
    <xf numFmtId="49" fontId="110" fillId="0" borderId="0" xfId="0" applyNumberFormat="1" applyFont="1" applyFill="1" applyBorder="1"/>
    <xf numFmtId="0" fontId="110" fillId="0" borderId="0" xfId="0" applyFont="1" applyFill="1" applyBorder="1"/>
    <xf numFmtId="0" fontId="110" fillId="0" borderId="0" xfId="0" applyFont="1" applyFill="1" applyBorder="1" applyAlignment="1">
      <alignment horizontal="right"/>
    </xf>
    <xf numFmtId="0" fontId="104" fillId="0" borderId="10" xfId="0" applyFont="1" applyFill="1" applyBorder="1"/>
    <xf numFmtId="0" fontId="104" fillId="0" borderId="1" xfId="0" applyFont="1" applyFill="1" applyBorder="1"/>
    <xf numFmtId="0" fontId="110" fillId="0" borderId="1" xfId="0" applyFont="1" applyFill="1" applyBorder="1" applyAlignment="1">
      <alignment vertical="center"/>
    </xf>
    <xf numFmtId="0" fontId="110" fillId="0" borderId="10" xfId="0" applyFont="1" applyFill="1" applyBorder="1" applyAlignment="1">
      <alignment vertical="center"/>
    </xf>
    <xf numFmtId="0" fontId="106" fillId="0" borderId="10" xfId="0" applyFont="1" applyFill="1" applyBorder="1" applyAlignment="1">
      <alignment horizontal="center" vertical="center" wrapText="1"/>
    </xf>
    <xf numFmtId="49" fontId="111" fillId="0" borderId="1" xfId="0" applyNumberFormat="1" applyFont="1" applyFill="1" applyBorder="1" applyAlignment="1">
      <alignment horizontal="center"/>
    </xf>
    <xf numFmtId="0" fontId="111" fillId="0" borderId="1" xfId="0" applyFont="1" applyFill="1" applyBorder="1" applyAlignment="1">
      <alignment horizontal="center"/>
    </xf>
    <xf numFmtId="0" fontId="111" fillId="0" borderId="10" xfId="0" applyFont="1" applyFill="1" applyBorder="1" applyAlignment="1">
      <alignment horizontal="center"/>
    </xf>
    <xf numFmtId="49" fontId="101" fillId="5" borderId="6" xfId="0" applyNumberFormat="1" applyFont="1" applyFill="1" applyBorder="1" applyAlignment="1">
      <alignment horizontal="center" vertical="top" wrapText="1"/>
    </xf>
    <xf numFmtId="0" fontId="101" fillId="5" borderId="6" xfId="0" applyFont="1" applyFill="1" applyBorder="1" applyAlignment="1">
      <alignment horizontal="left" vertical="top" wrapText="1" shrinkToFit="1"/>
    </xf>
    <xf numFmtId="4" fontId="103" fillId="5" borderId="0" xfId="0" applyNumberFormat="1" applyFont="1" applyFill="1" applyBorder="1"/>
    <xf numFmtId="0" fontId="103" fillId="5" borderId="0" xfId="0" applyFont="1" applyFill="1" applyBorder="1"/>
    <xf numFmtId="49" fontId="85" fillId="0" borderId="4" xfId="0" applyNumberFormat="1" applyFont="1" applyFill="1" applyBorder="1" applyAlignment="1">
      <alignment horizontal="center" vertical="top"/>
    </xf>
    <xf numFmtId="0" fontId="85" fillId="0" borderId="4" xfId="0" applyFont="1" applyFill="1" applyBorder="1" applyAlignment="1">
      <alignment horizontal="left" vertical="top" wrapText="1" shrinkToFit="1"/>
    </xf>
    <xf numFmtId="0" fontId="112" fillId="0" borderId="0" xfId="0" applyFont="1" applyFill="1" applyBorder="1"/>
    <xf numFmtId="0" fontId="85" fillId="0" borderId="1" xfId="0" applyFont="1" applyBorder="1" applyAlignment="1">
      <alignment vertical="top" wrapText="1"/>
    </xf>
    <xf numFmtId="49" fontId="85" fillId="4" borderId="1" xfId="0" applyNumberFormat="1" applyFont="1" applyFill="1" applyBorder="1" applyAlignment="1">
      <alignment horizontal="center" vertical="top"/>
    </xf>
    <xf numFmtId="0" fontId="85" fillId="4" borderId="1" xfId="0" applyFont="1" applyFill="1" applyBorder="1" applyAlignment="1">
      <alignment horizontal="left" vertical="top" wrapText="1" shrinkToFit="1"/>
    </xf>
    <xf numFmtId="4" fontId="85" fillId="4" borderId="1" xfId="0" applyNumberFormat="1" applyFont="1" applyFill="1" applyBorder="1" applyAlignment="1">
      <alignment horizontal="right" vertical="top"/>
    </xf>
    <xf numFmtId="0" fontId="112" fillId="4" borderId="0" xfId="0" applyFont="1" applyFill="1"/>
    <xf numFmtId="0" fontId="88" fillId="0" borderId="1" xfId="0" applyFont="1" applyFill="1" applyBorder="1" applyAlignment="1">
      <alignment horizontal="left" vertical="top" wrapText="1" shrinkToFit="1"/>
    </xf>
    <xf numFmtId="4" fontId="88" fillId="0" borderId="3" xfId="0" applyNumberFormat="1" applyFont="1" applyFill="1" applyBorder="1" applyAlignment="1">
      <alignment horizontal="right" vertical="top"/>
    </xf>
    <xf numFmtId="0" fontId="113" fillId="0" borderId="0" xfId="0" applyFont="1" applyFill="1" applyBorder="1"/>
    <xf numFmtId="0" fontId="85" fillId="0" borderId="1" xfId="0" applyFont="1" applyFill="1" applyBorder="1" applyAlignment="1">
      <alignment horizontal="left" vertical="top" wrapText="1" shrinkToFit="1"/>
    </xf>
    <xf numFmtId="4" fontId="85" fillId="0" borderId="3" xfId="0" applyNumberFormat="1" applyFont="1" applyFill="1" applyBorder="1" applyAlignment="1">
      <alignment horizontal="right" vertical="top"/>
    </xf>
    <xf numFmtId="0" fontId="104" fillId="4" borderId="0" xfId="0" applyFont="1" applyFill="1"/>
    <xf numFmtId="0" fontId="114" fillId="0" borderId="0" xfId="0" applyFont="1" applyFill="1" applyBorder="1"/>
    <xf numFmtId="49" fontId="101" fillId="5" borderId="1" xfId="0" applyNumberFormat="1" applyFont="1" applyFill="1" applyBorder="1" applyAlignment="1">
      <alignment horizontal="center" vertical="top" wrapText="1"/>
    </xf>
    <xf numFmtId="0" fontId="101" fillId="5" borderId="1" xfId="0" applyFont="1" applyFill="1" applyBorder="1" applyAlignment="1">
      <alignment horizontal="left" vertical="top" wrapText="1" shrinkToFit="1"/>
    </xf>
    <xf numFmtId="4" fontId="101" fillId="5" borderId="1" xfId="0" applyNumberFormat="1" applyFont="1" applyFill="1" applyBorder="1" applyAlignment="1">
      <alignment horizontal="right" vertical="top"/>
    </xf>
    <xf numFmtId="0" fontId="115" fillId="5" borderId="0" xfId="0" applyFont="1" applyFill="1" applyBorder="1"/>
    <xf numFmtId="0" fontId="112" fillId="0" borderId="0" xfId="0" applyFont="1" applyFill="1"/>
    <xf numFmtId="4" fontId="88" fillId="0" borderId="2" xfId="0" applyNumberFormat="1" applyFont="1" applyFill="1" applyBorder="1" applyAlignment="1">
      <alignment horizontal="right" vertical="top"/>
    </xf>
    <xf numFmtId="4" fontId="85" fillId="0" borderId="2" xfId="0" applyNumberFormat="1" applyFont="1" applyFill="1" applyBorder="1" applyAlignment="1">
      <alignment horizontal="right" vertical="top" wrapText="1"/>
    </xf>
    <xf numFmtId="0" fontId="85" fillId="0" borderId="1" xfId="0" applyFont="1" applyFill="1" applyBorder="1" applyAlignment="1">
      <alignment horizontal="center" vertical="top"/>
    </xf>
    <xf numFmtId="0" fontId="85" fillId="0" borderId="1" xfId="0" applyFont="1" applyFill="1" applyBorder="1" applyAlignment="1">
      <alignment wrapText="1"/>
    </xf>
    <xf numFmtId="0" fontId="85" fillId="0" borderId="1" xfId="0" applyFont="1" applyFill="1" applyBorder="1" applyAlignment="1">
      <alignment vertical="top" wrapText="1"/>
    </xf>
    <xf numFmtId="49" fontId="101" fillId="5" borderId="1" xfId="0" applyNumberFormat="1" applyFont="1" applyFill="1" applyBorder="1" applyAlignment="1">
      <alignment horizontal="center" vertical="top"/>
    </xf>
    <xf numFmtId="4" fontId="116" fillId="5" borderId="1" xfId="0" applyNumberFormat="1" applyFont="1" applyFill="1" applyBorder="1" applyAlignment="1">
      <alignment horizontal="right" vertical="top"/>
    </xf>
    <xf numFmtId="0" fontId="102" fillId="5" borderId="0" xfId="0" applyFont="1" applyFill="1" applyBorder="1"/>
    <xf numFmtId="4" fontId="83" fillId="0" borderId="1" xfId="0" applyNumberFormat="1" applyFont="1" applyFill="1" applyBorder="1" applyAlignment="1">
      <alignment horizontal="right" vertical="top"/>
    </xf>
    <xf numFmtId="0" fontId="85" fillId="4" borderId="4" xfId="0" applyFont="1" applyFill="1" applyBorder="1" applyAlignment="1">
      <alignment horizontal="left" vertical="top" wrapText="1" shrinkToFit="1"/>
    </xf>
    <xf numFmtId="49" fontId="88" fillId="0" borderId="2" xfId="0" applyNumberFormat="1" applyFont="1" applyFill="1" applyBorder="1" applyAlignment="1">
      <alignment horizontal="center" vertical="top"/>
    </xf>
    <xf numFmtId="0" fontId="88" fillId="0" borderId="1" xfId="0" applyFont="1" applyBorder="1" applyAlignment="1">
      <alignment horizontal="justify" wrapText="1"/>
    </xf>
    <xf numFmtId="4" fontId="85" fillId="4" borderId="1" xfId="0" applyNumberFormat="1" applyFont="1" applyFill="1" applyBorder="1" applyAlignment="1">
      <alignment horizontal="right" vertical="top" wrapText="1" shrinkToFit="1"/>
    </xf>
    <xf numFmtId="4" fontId="102" fillId="0" borderId="0" xfId="0" applyNumberFormat="1" applyFont="1" applyFill="1" applyBorder="1"/>
    <xf numFmtId="4" fontId="102" fillId="14" borderId="0" xfId="0" applyNumberFormat="1" applyFont="1" applyFill="1" applyBorder="1"/>
    <xf numFmtId="3" fontId="103" fillId="14" borderId="0" xfId="0" applyNumberFormat="1" applyFont="1" applyFill="1" applyBorder="1"/>
    <xf numFmtId="0" fontId="104" fillId="14" borderId="0" xfId="0" applyFont="1" applyFill="1" applyBorder="1"/>
    <xf numFmtId="0" fontId="117" fillId="5" borderId="0" xfId="0" applyFont="1" applyFill="1"/>
    <xf numFmtId="3" fontId="85" fillId="4" borderId="1" xfId="0" applyNumberFormat="1" applyFont="1" applyFill="1" applyBorder="1" applyAlignment="1">
      <alignment vertical="top" wrapText="1"/>
    </xf>
    <xf numFmtId="4" fontId="101" fillId="0" borderId="1" xfId="0" applyNumberFormat="1" applyFont="1" applyFill="1" applyBorder="1" applyAlignment="1">
      <alignment horizontal="right" vertical="top"/>
    </xf>
    <xf numFmtId="0" fontId="88" fillId="0" borderId="1" xfId="0" applyFont="1" applyBorder="1" applyAlignment="1">
      <alignment vertical="top" wrapText="1"/>
    </xf>
    <xf numFmtId="4" fontId="118" fillId="0" borderId="2" xfId="0" applyNumberFormat="1" applyFont="1" applyFill="1" applyBorder="1" applyAlignment="1">
      <alignment horizontal="right" vertical="top"/>
    </xf>
    <xf numFmtId="4" fontId="118" fillId="0" borderId="1" xfId="0" applyNumberFormat="1" applyFont="1" applyFill="1" applyBorder="1" applyAlignment="1">
      <alignment horizontal="right" vertical="top"/>
    </xf>
    <xf numFmtId="0" fontId="114" fillId="0" borderId="0" xfId="0" applyFont="1" applyFill="1"/>
    <xf numFmtId="49" fontId="88" fillId="0" borderId="4" xfId="0" applyNumberFormat="1" applyFont="1" applyFill="1" applyBorder="1" applyAlignment="1">
      <alignment horizontal="center" vertical="top"/>
    </xf>
    <xf numFmtId="0" fontId="88" fillId="0" borderId="1" xfId="0" applyNumberFormat="1" applyFont="1" applyBorder="1" applyAlignment="1">
      <alignment vertical="top" wrapText="1"/>
    </xf>
    <xf numFmtId="4" fontId="88" fillId="0" borderId="4" xfId="0" applyNumberFormat="1" applyFont="1" applyFill="1" applyBorder="1" applyAlignment="1">
      <alignment horizontal="right" vertical="top"/>
    </xf>
    <xf numFmtId="4" fontId="88" fillId="0" borderId="5" xfId="0" applyNumberFormat="1" applyFont="1" applyFill="1" applyBorder="1" applyAlignment="1">
      <alignment horizontal="right" vertical="top"/>
    </xf>
    <xf numFmtId="0" fontId="119" fillId="0" borderId="0" xfId="0" applyFont="1" applyFill="1"/>
    <xf numFmtId="0" fontId="88" fillId="9" borderId="1" xfId="0" applyFont="1" applyFill="1" applyBorder="1" applyAlignment="1">
      <alignment horizontal="left" vertical="top" wrapText="1" shrinkToFit="1"/>
    </xf>
    <xf numFmtId="4" fontId="120" fillId="5" borderId="0" xfId="0" applyNumberFormat="1" applyFont="1" applyFill="1" applyBorder="1"/>
    <xf numFmtId="0" fontId="117" fillId="5" borderId="0" xfId="0" applyFont="1" applyFill="1" applyBorder="1"/>
    <xf numFmtId="49" fontId="85" fillId="4" borderId="1" xfId="0" applyNumberFormat="1" applyFont="1" applyFill="1" applyBorder="1" applyAlignment="1">
      <alignment horizontal="left" vertical="top"/>
    </xf>
    <xf numFmtId="49" fontId="88" fillId="0" borderId="1" xfId="0" applyNumberFormat="1" applyFont="1" applyFill="1" applyBorder="1" applyAlignment="1">
      <alignment horizontal="center" vertical="top" wrapText="1"/>
    </xf>
    <xf numFmtId="0" fontId="88" fillId="0" borderId="1" xfId="0" applyFont="1" applyFill="1" applyBorder="1" applyAlignment="1">
      <alignment vertical="top" wrapText="1"/>
    </xf>
    <xf numFmtId="4" fontId="121" fillId="5" borderId="0" xfId="0" applyNumberFormat="1" applyFont="1" applyFill="1" applyBorder="1"/>
    <xf numFmtId="4" fontId="83" fillId="9" borderId="1" xfId="0" applyNumberFormat="1" applyFont="1" applyFill="1" applyBorder="1" applyAlignment="1">
      <alignment horizontal="right" vertical="top"/>
    </xf>
    <xf numFmtId="4" fontId="88" fillId="0" borderId="2" xfId="0" applyNumberFormat="1" applyFont="1" applyFill="1" applyBorder="1" applyAlignment="1">
      <alignment horizontal="right" vertical="top" wrapText="1"/>
    </xf>
    <xf numFmtId="0" fontId="85" fillId="0" borderId="0" xfId="0" applyFont="1" applyAlignment="1">
      <alignment wrapText="1"/>
    </xf>
    <xf numFmtId="4" fontId="85" fillId="0" borderId="2" xfId="0" applyNumberFormat="1" applyFont="1" applyFill="1" applyBorder="1" applyAlignment="1">
      <alignment horizontal="right" vertical="top"/>
    </xf>
    <xf numFmtId="3" fontId="102" fillId="5" borderId="0" xfId="0" applyNumberFormat="1" applyFont="1" applyFill="1" applyBorder="1"/>
    <xf numFmtId="0" fontId="120" fillId="0" borderId="0" xfId="0" applyFont="1" applyFill="1" applyBorder="1"/>
    <xf numFmtId="0" fontId="120" fillId="0" borderId="0" xfId="0" applyFont="1" applyFill="1"/>
    <xf numFmtId="0" fontId="88" fillId="0" borderId="1" xfId="0" applyFont="1" applyFill="1" applyBorder="1" applyAlignment="1">
      <alignment horizontal="center" vertical="top"/>
    </xf>
    <xf numFmtId="4" fontId="88" fillId="9" borderId="1" xfId="0" applyNumberFormat="1" applyFont="1" applyFill="1" applyBorder="1" applyAlignment="1">
      <alignment horizontal="right" vertical="top" wrapText="1"/>
    </xf>
    <xf numFmtId="4" fontId="88" fillId="9" borderId="2" xfId="0" applyNumberFormat="1" applyFont="1" applyFill="1" applyBorder="1" applyAlignment="1">
      <alignment horizontal="right" vertical="top" wrapText="1"/>
    </xf>
    <xf numFmtId="0" fontId="102" fillId="5" borderId="0" xfId="0" applyFont="1" applyFill="1"/>
    <xf numFmtId="0" fontId="121" fillId="0" borderId="0" xfId="0" applyFont="1" applyFill="1" applyBorder="1"/>
    <xf numFmtId="0" fontId="119" fillId="0" borderId="0" xfId="0" applyFont="1" applyFill="1" applyBorder="1"/>
    <xf numFmtId="0" fontId="104" fillId="5" borderId="0" xfId="0" applyFont="1" applyFill="1" applyBorder="1"/>
    <xf numFmtId="49" fontId="85" fillId="5" borderId="1" xfId="0" applyNumberFormat="1" applyFont="1" applyFill="1" applyBorder="1" applyAlignment="1">
      <alignment horizontal="center" vertical="top"/>
    </xf>
    <xf numFmtId="0" fontId="104" fillId="5" borderId="0" xfId="0" applyFont="1" applyFill="1"/>
    <xf numFmtId="0" fontId="85" fillId="0" borderId="1" xfId="0" applyFont="1" applyBorder="1" applyAlignment="1">
      <alignment horizontal="justify" vertical="top" wrapText="1"/>
    </xf>
    <xf numFmtId="49" fontId="85" fillId="0" borderId="1" xfId="0" applyNumberFormat="1" applyFont="1" applyBorder="1" applyAlignment="1">
      <alignment horizontal="center" vertical="top"/>
    </xf>
    <xf numFmtId="0" fontId="85" fillId="0" borderId="1" xfId="0" applyNumberFormat="1" applyFont="1" applyBorder="1" applyAlignment="1">
      <alignment vertical="top" wrapText="1"/>
    </xf>
    <xf numFmtId="0" fontId="85" fillId="0" borderId="4" xfId="0" applyFont="1" applyFill="1" applyBorder="1" applyAlignment="1">
      <alignment horizontal="center" vertical="top"/>
    </xf>
    <xf numFmtId="0" fontId="85" fillId="0" borderId="4" xfId="0" applyNumberFormat="1" applyFont="1" applyFill="1" applyBorder="1" applyAlignment="1">
      <alignment vertical="top" wrapText="1"/>
    </xf>
    <xf numFmtId="4" fontId="85" fillId="0" borderId="4" xfId="0" applyNumberFormat="1" applyFont="1" applyFill="1" applyBorder="1" applyAlignment="1">
      <alignment horizontal="right" vertical="top"/>
    </xf>
    <xf numFmtId="4" fontId="85" fillId="0" borderId="5" xfId="0" applyNumberFormat="1" applyFont="1" applyFill="1" applyBorder="1" applyAlignment="1">
      <alignment horizontal="right" vertical="top"/>
    </xf>
    <xf numFmtId="0" fontId="121" fillId="0" borderId="0" xfId="0" applyFont="1" applyFill="1"/>
    <xf numFmtId="0" fontId="101" fillId="5" borderId="1" xfId="0" applyFont="1" applyFill="1" applyBorder="1" applyAlignment="1">
      <alignment horizontal="left" vertical="top"/>
    </xf>
    <xf numFmtId="49" fontId="101" fillId="0" borderId="0" xfId="0" applyNumberFormat="1" applyFont="1" applyFill="1" applyBorder="1" applyAlignment="1">
      <alignment horizontal="center" vertical="top"/>
    </xf>
    <xf numFmtId="0" fontId="101" fillId="0" borderId="0" xfId="0" applyFont="1" applyFill="1" applyBorder="1" applyAlignment="1">
      <alignment horizontal="left" vertical="top"/>
    </xf>
    <xf numFmtId="4" fontId="101" fillId="0" borderId="0" xfId="0" applyNumberFormat="1" applyFont="1" applyFill="1" applyBorder="1" applyAlignment="1">
      <alignment horizontal="right" vertical="top"/>
    </xf>
    <xf numFmtId="3" fontId="101" fillId="0" borderId="0" xfId="0" applyNumberFormat="1" applyFont="1" applyFill="1" applyBorder="1" applyAlignment="1">
      <alignment horizontal="right" vertical="top"/>
    </xf>
    <xf numFmtId="4" fontId="101" fillId="0" borderId="10" xfId="0" applyNumberFormat="1" applyFont="1" applyFill="1" applyBorder="1" applyAlignment="1">
      <alignment horizontal="right" vertical="top"/>
    </xf>
    <xf numFmtId="3" fontId="112" fillId="0" borderId="0" xfId="0" applyNumberFormat="1" applyFont="1" applyFill="1" applyBorder="1"/>
    <xf numFmtId="0" fontId="109" fillId="0" borderId="0" xfId="4" applyFont="1"/>
    <xf numFmtId="0" fontId="86" fillId="0" borderId="0" xfId="4" applyFont="1" applyBorder="1"/>
    <xf numFmtId="0" fontId="109" fillId="0" borderId="0" xfId="0" applyFont="1" applyBorder="1"/>
    <xf numFmtId="0" fontId="84" fillId="0" borderId="0" xfId="0" applyFont="1" applyBorder="1" applyAlignment="1">
      <alignment horizontal="left"/>
    </xf>
    <xf numFmtId="0" fontId="84" fillId="0" borderId="0" xfId="0" applyFont="1" applyBorder="1"/>
    <xf numFmtId="0" fontId="122" fillId="0" borderId="0" xfId="0" applyFont="1" applyFill="1" applyAlignment="1">
      <alignment horizontal="left"/>
    </xf>
    <xf numFmtId="49" fontId="117" fillId="6" borderId="0" xfId="0" applyNumberFormat="1" applyFont="1" applyFill="1"/>
    <xf numFmtId="0" fontId="117" fillId="6" borderId="0" xfId="0" applyFont="1" applyFill="1"/>
    <xf numFmtId="4" fontId="117" fillId="6" borderId="0" xfId="0" applyNumberFormat="1" applyFont="1" applyFill="1"/>
    <xf numFmtId="0" fontId="117" fillId="6" borderId="0" xfId="0" applyFont="1" applyFill="1" applyBorder="1"/>
    <xf numFmtId="49" fontId="104" fillId="0" borderId="0" xfId="0" applyNumberFormat="1" applyFont="1" applyFill="1"/>
    <xf numFmtId="0" fontId="104" fillId="3" borderId="0" xfId="0" applyFont="1" applyFill="1"/>
    <xf numFmtId="0" fontId="106" fillId="0" borderId="0" xfId="0" applyFont="1" applyAlignment="1"/>
    <xf numFmtId="0" fontId="84" fillId="0" borderId="0" xfId="0" applyFont="1" applyAlignment="1">
      <alignment horizontal="left"/>
    </xf>
    <xf numFmtId="0" fontId="85" fillId="0" borderId="0" xfId="0" applyFont="1" applyAlignment="1">
      <alignment horizontal="right"/>
    </xf>
    <xf numFmtId="0" fontId="85" fillId="10" borderId="0" xfId="0" applyFont="1" applyFill="1" applyAlignment="1">
      <alignment horizontal="right"/>
    </xf>
    <xf numFmtId="0" fontId="85" fillId="0" borderId="0" xfId="0" applyFont="1" applyFill="1" applyAlignment="1">
      <alignment horizontal="right"/>
    </xf>
    <xf numFmtId="0" fontId="101" fillId="0" borderId="0" xfId="0" applyFont="1" applyAlignment="1">
      <alignment horizontal="right"/>
    </xf>
    <xf numFmtId="0" fontId="87" fillId="0" borderId="0" xfId="0" applyFont="1"/>
    <xf numFmtId="0" fontId="123" fillId="0" borderId="0" xfId="0" applyFont="1" applyBorder="1" applyAlignment="1">
      <alignment horizontal="center" wrapText="1"/>
    </xf>
    <xf numFmtId="0" fontId="84" fillId="0" borderId="0" xfId="0" applyFont="1" applyAlignment="1">
      <alignment horizontal="left" wrapText="1"/>
    </xf>
    <xf numFmtId="0" fontId="86" fillId="0" borderId="0" xfId="0" applyFont="1" applyAlignment="1">
      <alignment vertical="center"/>
    </xf>
    <xf numFmtId="0" fontId="84" fillId="0" borderId="0" xfId="0" applyFont="1" applyAlignment="1">
      <alignment horizontal="center" wrapText="1"/>
    </xf>
    <xf numFmtId="0" fontId="84" fillId="0" borderId="0" xfId="0" applyFont="1" applyAlignment="1">
      <alignment vertical="center" wrapText="1"/>
    </xf>
    <xf numFmtId="0" fontId="84" fillId="0" borderId="0" xfId="0" applyFont="1" applyAlignment="1">
      <alignment horizontal="right"/>
    </xf>
    <xf numFmtId="0" fontId="86" fillId="0" borderId="2" xfId="0" applyFont="1" applyBorder="1" applyAlignment="1">
      <alignment horizontal="left"/>
    </xf>
    <xf numFmtId="0" fontId="86" fillId="0" borderId="10" xfId="0" applyFont="1" applyBorder="1" applyAlignment="1"/>
    <xf numFmtId="0" fontId="86" fillId="0" borderId="10" xfId="0" applyFont="1" applyBorder="1" applyAlignment="1">
      <alignment horizontal="left"/>
    </xf>
    <xf numFmtId="0" fontId="86" fillId="10" borderId="10" xfId="0" applyFont="1" applyFill="1" applyBorder="1" applyAlignment="1"/>
    <xf numFmtId="0" fontId="86" fillId="0" borderId="10" xfId="0" applyFont="1" applyFill="1" applyBorder="1" applyAlignment="1"/>
    <xf numFmtId="0" fontId="84" fillId="0" borderId="10" xfId="0" applyFont="1" applyBorder="1" applyAlignment="1">
      <alignment vertical="center"/>
    </xf>
    <xf numFmtId="0" fontId="84" fillId="0" borderId="10" xfId="0" applyFont="1" applyBorder="1"/>
    <xf numFmtId="0" fontId="84" fillId="0" borderId="10" xfId="0" applyFont="1" applyFill="1" applyBorder="1" applyAlignment="1">
      <alignment vertical="center"/>
    </xf>
    <xf numFmtId="0" fontId="86" fillId="0" borderId="3" xfId="0" applyFont="1" applyBorder="1" applyAlignment="1"/>
    <xf numFmtId="0" fontId="84" fillId="0" borderId="11" xfId="0" applyFont="1" applyBorder="1" applyAlignment="1">
      <alignment horizontal="center" vertical="center" wrapText="1"/>
    </xf>
    <xf numFmtId="0" fontId="84" fillId="0" borderId="11" xfId="0" applyFont="1" applyBorder="1"/>
    <xf numFmtId="0" fontId="84" fillId="0" borderId="12" xfId="0" applyFont="1" applyBorder="1" applyAlignment="1">
      <alignment horizontal="left"/>
    </xf>
    <xf numFmtId="0" fontId="84" fillId="0" borderId="12" xfId="0" applyFont="1" applyBorder="1"/>
    <xf numFmtId="0" fontId="84" fillId="0" borderId="6" xfId="0" applyFont="1" applyBorder="1" applyAlignment="1">
      <alignment horizontal="left"/>
    </xf>
    <xf numFmtId="0" fontId="84" fillId="0" borderId="9" xfId="0" applyFont="1" applyBorder="1" applyAlignment="1">
      <alignment horizontal="left"/>
    </xf>
    <xf numFmtId="0" fontId="84" fillId="10" borderId="12" xfId="0" applyFont="1" applyFill="1" applyBorder="1" applyAlignment="1">
      <alignment horizontal="left"/>
    </xf>
    <xf numFmtId="0" fontId="84" fillId="0" borderId="11" xfId="0" applyFont="1" applyBorder="1" applyAlignment="1">
      <alignment horizontal="left"/>
    </xf>
    <xf numFmtId="0" fontId="86" fillId="0" borderId="12" xfId="0" applyFont="1" applyBorder="1" applyAlignment="1"/>
    <xf numFmtId="0" fontId="84" fillId="0" borderId="12" xfId="0" applyFont="1" applyFill="1" applyBorder="1" applyAlignment="1">
      <alignment horizontal="left"/>
    </xf>
    <xf numFmtId="0" fontId="84" fillId="0" borderId="12" xfId="0" applyFont="1" applyBorder="1" applyAlignment="1">
      <alignment vertical="center"/>
    </xf>
    <xf numFmtId="0" fontId="84" fillId="0" borderId="13" xfId="0" applyFont="1" applyBorder="1"/>
    <xf numFmtId="0" fontId="84" fillId="0" borderId="6" xfId="0" applyFont="1" applyFill="1" applyBorder="1" applyAlignment="1">
      <alignment horizontal="left"/>
    </xf>
    <xf numFmtId="0" fontId="84" fillId="0" borderId="0" xfId="0" applyFont="1" applyFill="1" applyBorder="1" applyAlignment="1">
      <alignment vertical="center"/>
    </xf>
    <xf numFmtId="0" fontId="84" fillId="0" borderId="3" xfId="0" applyFont="1" applyBorder="1" applyAlignment="1">
      <alignment horizontal="center" vertical="center" wrapText="1"/>
    </xf>
    <xf numFmtId="0" fontId="84" fillId="0" borderId="3" xfId="0" applyFont="1" applyBorder="1"/>
    <xf numFmtId="0" fontId="84" fillId="0" borderId="10" xfId="0" applyFont="1" applyBorder="1" applyAlignment="1">
      <alignment horizontal="left"/>
    </xf>
    <xf numFmtId="0" fontId="84" fillId="0" borderId="1" xfId="0" applyFont="1" applyBorder="1" applyAlignment="1">
      <alignment horizontal="left"/>
    </xf>
    <xf numFmtId="0" fontId="84" fillId="0" borderId="2" xfId="0" applyFont="1" applyBorder="1" applyAlignment="1">
      <alignment horizontal="left"/>
    </xf>
    <xf numFmtId="0" fontId="84" fillId="10" borderId="10" xfId="0" applyFont="1" applyFill="1" applyBorder="1" applyAlignment="1">
      <alignment horizontal="left"/>
    </xf>
    <xf numFmtId="0" fontId="84" fillId="0" borderId="3" xfId="0" applyFont="1" applyBorder="1" applyAlignment="1">
      <alignment horizontal="left"/>
    </xf>
    <xf numFmtId="0" fontId="84" fillId="0" borderId="10" xfId="0" applyFont="1" applyFill="1" applyBorder="1" applyAlignment="1">
      <alignment horizontal="left"/>
    </xf>
    <xf numFmtId="0" fontId="84" fillId="0" borderId="1" xfId="0" applyFont="1" applyFill="1" applyBorder="1" applyAlignment="1">
      <alignment horizontal="left"/>
    </xf>
    <xf numFmtId="0" fontId="84" fillId="0" borderId="14" xfId="0" applyFont="1" applyBorder="1" applyAlignment="1">
      <alignment horizontal="center" vertical="center" wrapText="1"/>
    </xf>
    <xf numFmtId="0" fontId="84" fillId="0" borderId="14" xfId="0" applyFont="1" applyBorder="1"/>
    <xf numFmtId="0" fontId="84" fillId="0" borderId="15" xfId="0" applyFont="1" applyBorder="1" applyAlignment="1">
      <alignment horizontal="left"/>
    </xf>
    <xf numFmtId="0" fontId="84" fillId="0" borderId="15" xfId="0" applyFont="1" applyBorder="1"/>
    <xf numFmtId="0" fontId="84" fillId="0" borderId="4" xfId="0" applyFont="1" applyBorder="1" applyAlignment="1">
      <alignment horizontal="left"/>
    </xf>
    <xf numFmtId="0" fontId="84" fillId="0" borderId="5" xfId="0" applyFont="1" applyBorder="1" applyAlignment="1">
      <alignment horizontal="left"/>
    </xf>
    <xf numFmtId="0" fontId="84" fillId="10" borderId="15" xfId="0" applyFont="1" applyFill="1" applyBorder="1" applyAlignment="1">
      <alignment horizontal="left"/>
    </xf>
    <xf numFmtId="0" fontId="84" fillId="0" borderId="14" xfId="0" applyFont="1" applyBorder="1" applyAlignment="1">
      <alignment horizontal="left"/>
    </xf>
    <xf numFmtId="0" fontId="86" fillId="0" borderId="15" xfId="0" applyFont="1" applyBorder="1" applyAlignment="1"/>
    <xf numFmtId="0" fontId="84" fillId="0" borderId="15" xfId="0" applyFont="1" applyFill="1" applyBorder="1" applyAlignment="1">
      <alignment horizontal="left"/>
    </xf>
    <xf numFmtId="0" fontId="84" fillId="0" borderId="15" xfId="0" applyFont="1" applyBorder="1" applyAlignment="1">
      <alignment vertical="center"/>
    </xf>
    <xf numFmtId="0" fontId="84" fillId="0" borderId="4" xfId="0" applyFont="1" applyFill="1" applyBorder="1" applyAlignment="1">
      <alignment horizontal="left"/>
    </xf>
    <xf numFmtId="0" fontId="84" fillId="0" borderId="15" xfId="0" applyFont="1" applyFill="1" applyBorder="1" applyAlignment="1">
      <alignment vertical="center"/>
    </xf>
    <xf numFmtId="0" fontId="84" fillId="0" borderId="5" xfId="0" applyFont="1" applyBorder="1" applyAlignment="1">
      <alignment vertical="center"/>
    </xf>
    <xf numFmtId="0" fontId="84" fillId="0" borderId="15" xfId="0" applyFont="1" applyBorder="1" applyAlignment="1"/>
    <xf numFmtId="0" fontId="85" fillId="0" borderId="15" xfId="0" applyFont="1" applyBorder="1" applyAlignment="1">
      <alignment vertical="center" wrapText="1"/>
    </xf>
    <xf numFmtId="0" fontId="84" fillId="0" borderId="15" xfId="0" applyFont="1" applyBorder="1" applyAlignment="1">
      <alignment vertical="center" wrapText="1"/>
    </xf>
    <xf numFmtId="0" fontId="84" fillId="10" borderId="15" xfId="0" applyFont="1" applyFill="1" applyBorder="1" applyAlignment="1">
      <alignment vertical="center"/>
    </xf>
    <xf numFmtId="0" fontId="84" fillId="0" borderId="14" xfId="0" applyFont="1" applyBorder="1" applyAlignment="1">
      <alignment vertical="center" wrapText="1"/>
    </xf>
    <xf numFmtId="0" fontId="84" fillId="0" borderId="15" xfId="0" applyFont="1" applyFill="1" applyBorder="1"/>
    <xf numFmtId="0" fontId="84" fillId="0" borderId="2" xfId="0" applyFont="1" applyBorder="1" applyAlignment="1">
      <alignment vertical="top" wrapText="1"/>
    </xf>
    <xf numFmtId="0" fontId="84" fillId="0" borderId="3" xfId="0" applyFont="1" applyBorder="1" applyAlignment="1">
      <alignment vertical="top" wrapText="1"/>
    </xf>
    <xf numFmtId="0" fontId="84" fillId="10" borderId="1" xfId="0" applyFont="1" applyFill="1" applyBorder="1" applyAlignment="1">
      <alignment horizontal="center" vertical="top" wrapText="1"/>
    </xf>
    <xf numFmtId="0" fontId="84" fillId="0" borderId="1" xfId="0" applyFont="1" applyBorder="1" applyAlignment="1">
      <alignment vertical="top" wrapText="1"/>
    </xf>
    <xf numFmtId="0" fontId="84" fillId="0" borderId="2" xfId="0" applyFont="1" applyFill="1" applyBorder="1" applyAlignment="1">
      <alignment vertical="top" wrapText="1"/>
    </xf>
    <xf numFmtId="0" fontId="84" fillId="0" borderId="10" xfId="0" applyFont="1" applyFill="1" applyBorder="1" applyAlignment="1">
      <alignment vertical="top" wrapText="1"/>
    </xf>
    <xf numFmtId="0" fontId="84" fillId="0" borderId="3" xfId="0" applyFont="1" applyFill="1" applyBorder="1" applyAlignment="1">
      <alignment vertical="top" wrapText="1"/>
    </xf>
    <xf numFmtId="0" fontId="86" fillId="0" borderId="8" xfId="0" applyFont="1" applyBorder="1" applyAlignment="1">
      <alignment vertical="center" wrapText="1"/>
    </xf>
    <xf numFmtId="0" fontId="84" fillId="0" borderId="5" xfId="0" applyFont="1" applyBorder="1"/>
    <xf numFmtId="0" fontId="84" fillId="0" borderId="4" xfId="0" applyFont="1" applyBorder="1" applyAlignment="1">
      <alignment wrapText="1"/>
    </xf>
    <xf numFmtId="0" fontId="87" fillId="0" borderId="4" xfId="0" applyFont="1" applyBorder="1"/>
    <xf numFmtId="0" fontId="84" fillId="0" borderId="12" xfId="0" applyFont="1" applyBorder="1" applyAlignment="1">
      <alignment vertical="top" wrapText="1"/>
    </xf>
    <xf numFmtId="0" fontId="84" fillId="0" borderId="11" xfId="0" applyFont="1" applyBorder="1" applyAlignment="1">
      <alignment vertical="top" wrapText="1"/>
    </xf>
    <xf numFmtId="0" fontId="86" fillId="0" borderId="8" xfId="0" applyFont="1" applyBorder="1" applyAlignment="1">
      <alignment horizontal="center" vertical="center" wrapText="1"/>
    </xf>
    <xf numFmtId="0" fontId="84" fillId="0" borderId="8" xfId="0" applyFont="1" applyBorder="1" applyAlignment="1">
      <alignment wrapText="1"/>
    </xf>
    <xf numFmtId="0" fontId="87" fillId="0" borderId="8" xfId="0" applyFont="1" applyBorder="1"/>
    <xf numFmtId="0" fontId="84" fillId="0" borderId="14" xfId="0" applyFont="1" applyBorder="1" applyAlignment="1">
      <alignment horizontal="center" vertical="top" wrapText="1"/>
    </xf>
    <xf numFmtId="0" fontId="84" fillId="0" borderId="4" xfId="0" applyFont="1" applyBorder="1" applyAlignment="1">
      <alignment horizontal="center" vertical="top" wrapText="1"/>
    </xf>
    <xf numFmtId="49" fontId="83" fillId="9" borderId="1" xfId="1" applyNumberFormat="1" applyFont="1" applyFill="1" applyBorder="1" applyAlignment="1">
      <alignment horizontal="center" vertical="center"/>
    </xf>
    <xf numFmtId="3" fontId="84" fillId="0" borderId="1" xfId="0" applyNumberFormat="1" applyFont="1" applyBorder="1" applyAlignment="1">
      <alignment horizontal="left" vertical="center"/>
    </xf>
    <xf numFmtId="4" fontId="86" fillId="0" borderId="1" xfId="0" applyNumberFormat="1" applyFont="1" applyBorder="1" applyAlignment="1">
      <alignment horizontal="center"/>
    </xf>
    <xf numFmtId="4" fontId="84" fillId="0" borderId="6" xfId="0" applyNumberFormat="1" applyFont="1" applyBorder="1"/>
    <xf numFmtId="3" fontId="87" fillId="0" borderId="6" xfId="0" applyNumberFormat="1" applyFont="1" applyBorder="1"/>
    <xf numFmtId="3" fontId="87" fillId="0" borderId="1" xfId="0" applyNumberFormat="1" applyFont="1" applyBorder="1"/>
    <xf numFmtId="3" fontId="84" fillId="0" borderId="1" xfId="0" applyNumberFormat="1" applyFont="1" applyBorder="1"/>
    <xf numFmtId="4" fontId="84" fillId="0" borderId="0" xfId="0" applyNumberFormat="1" applyFont="1"/>
    <xf numFmtId="4" fontId="84" fillId="0" borderId="1" xfId="0" applyNumberFormat="1" applyFont="1" applyBorder="1"/>
    <xf numFmtId="3" fontId="84" fillId="0" borderId="1" xfId="0" applyNumberFormat="1" applyFont="1" applyBorder="1" applyAlignment="1">
      <alignment horizontal="left" vertical="center" wrapText="1"/>
    </xf>
    <xf numFmtId="0" fontId="86" fillId="0" borderId="1" xfId="0" applyNumberFormat="1" applyFont="1" applyBorder="1" applyAlignment="1">
      <alignment horizontal="left"/>
    </xf>
    <xf numFmtId="3" fontId="86" fillId="0" borderId="1" xfId="0" applyNumberFormat="1" applyFont="1" applyBorder="1" applyAlignment="1">
      <alignment horizontal="left"/>
    </xf>
    <xf numFmtId="3" fontId="86" fillId="0" borderId="1" xfId="0" applyNumberFormat="1" applyFont="1" applyBorder="1" applyAlignment="1">
      <alignment horizontal="center"/>
    </xf>
    <xf numFmtId="3" fontId="84" fillId="0" borderId="1" xfId="0" applyNumberFormat="1" applyFont="1" applyBorder="1" applyAlignment="1">
      <alignment horizontal="left" wrapText="1"/>
    </xf>
    <xf numFmtId="49" fontId="83" fillId="0" borderId="1" xfId="1" applyNumberFormat="1" applyFont="1" applyFill="1" applyBorder="1" applyAlignment="1">
      <alignment horizontal="center" vertical="center"/>
    </xf>
    <xf numFmtId="0" fontId="86" fillId="0" borderId="1" xfId="0" applyFont="1" applyFill="1" applyBorder="1" applyAlignment="1">
      <alignment horizontal="center" vertical="center"/>
    </xf>
    <xf numFmtId="0" fontId="86" fillId="0" borderId="1" xfId="0" applyFont="1" applyBorder="1" applyAlignment="1">
      <alignment horizontal="left" wrapText="1"/>
    </xf>
    <xf numFmtId="0" fontId="83" fillId="9" borderId="1" xfId="1" applyFont="1" applyFill="1" applyBorder="1" applyAlignment="1">
      <alignment horizontal="center" vertical="center"/>
    </xf>
    <xf numFmtId="0" fontId="84" fillId="0" borderId="1" xfId="0" applyFont="1" applyBorder="1" applyAlignment="1">
      <alignment horizontal="left" wrapText="1"/>
    </xf>
    <xf numFmtId="3" fontId="86" fillId="0" borderId="0" xfId="0" applyNumberFormat="1" applyFont="1"/>
    <xf numFmtId="0" fontId="84" fillId="0" borderId="1" xfId="0" applyNumberFormat="1" applyFont="1" applyFill="1" applyBorder="1" applyAlignment="1">
      <alignment horizontal="center" vertical="center"/>
    </xf>
    <xf numFmtId="0" fontId="86" fillId="0" borderId="1" xfId="0" applyFont="1" applyBorder="1" applyAlignment="1">
      <alignment horizontal="left"/>
    </xf>
    <xf numFmtId="0" fontId="85" fillId="0" borderId="1" xfId="0" applyFont="1" applyBorder="1" applyAlignment="1">
      <alignment horizontal="left" wrapText="1"/>
    </xf>
    <xf numFmtId="0" fontId="84" fillId="0" borderId="1" xfId="0" applyFont="1" applyFill="1" applyBorder="1" applyAlignment="1">
      <alignment horizontal="center" vertical="center"/>
    </xf>
    <xf numFmtId="0" fontId="84" fillId="9" borderId="1" xfId="0" applyFont="1" applyFill="1" applyBorder="1" applyAlignment="1">
      <alignment horizontal="center" vertical="center"/>
    </xf>
    <xf numFmtId="0" fontId="86" fillId="9" borderId="1" xfId="0" applyFont="1" applyFill="1" applyBorder="1" applyAlignment="1">
      <alignment horizontal="left" wrapText="1"/>
    </xf>
    <xf numFmtId="0" fontId="84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left" wrapText="1"/>
    </xf>
    <xf numFmtId="3" fontId="86" fillId="0" borderId="0" xfId="12" applyNumberFormat="1" applyFont="1" applyBorder="1" applyAlignment="1">
      <alignment horizontal="center"/>
    </xf>
    <xf numFmtId="4" fontId="86" fillId="0" borderId="0" xfId="12" applyNumberFormat="1" applyFont="1" applyBorder="1" applyAlignment="1">
      <alignment horizontal="center"/>
    </xf>
    <xf numFmtId="3" fontId="86" fillId="10" borderId="0" xfId="12" applyNumberFormat="1" applyFont="1" applyFill="1" applyBorder="1" applyAlignment="1">
      <alignment horizontal="center"/>
    </xf>
    <xf numFmtId="3" fontId="86" fillId="0" borderId="0" xfId="12" applyNumberFormat="1" applyFont="1" applyFill="1" applyBorder="1" applyAlignment="1">
      <alignment horizontal="center"/>
    </xf>
    <xf numFmtId="4" fontId="86" fillId="0" borderId="0" xfId="0" applyNumberFormat="1" applyFont="1" applyBorder="1" applyAlignment="1">
      <alignment horizontal="center"/>
    </xf>
    <xf numFmtId="3" fontId="86" fillId="0" borderId="0" xfId="0" applyNumberFormat="1" applyFont="1" applyBorder="1" applyAlignment="1">
      <alignment horizontal="center"/>
    </xf>
    <xf numFmtId="3" fontId="87" fillId="0" borderId="0" xfId="0" applyNumberFormat="1" applyFont="1" applyBorder="1"/>
    <xf numFmtId="0" fontId="107" fillId="0" borderId="0" xfId="4" applyFont="1" applyBorder="1" applyAlignment="1">
      <alignment wrapText="1"/>
    </xf>
    <xf numFmtId="0" fontId="87" fillId="0" borderId="0" xfId="4" applyFont="1" applyBorder="1" applyAlignment="1">
      <alignment horizontal="left"/>
    </xf>
    <xf numFmtId="3" fontId="124" fillId="0" borderId="0" xfId="12" applyNumberFormat="1" applyFont="1" applyBorder="1" applyAlignment="1">
      <alignment horizontal="center"/>
    </xf>
    <xf numFmtId="3" fontId="124" fillId="0" borderId="0" xfId="12" applyNumberFormat="1" applyFont="1" applyFill="1" applyBorder="1" applyAlignment="1">
      <alignment horizontal="center"/>
    </xf>
    <xf numFmtId="4" fontId="86" fillId="0" borderId="0" xfId="12" applyNumberFormat="1" applyFont="1" applyFill="1" applyBorder="1" applyAlignment="1">
      <alignment horizontal="center"/>
    </xf>
    <xf numFmtId="176" fontId="86" fillId="0" borderId="0" xfId="0" applyNumberFormat="1" applyFont="1" applyFill="1" applyBorder="1" applyAlignment="1">
      <alignment horizontal="center"/>
    </xf>
    <xf numFmtId="176" fontId="86" fillId="0" borderId="0" xfId="0" applyNumberFormat="1" applyFont="1" applyBorder="1" applyAlignment="1">
      <alignment horizontal="center"/>
    </xf>
    <xf numFmtId="0" fontId="84" fillId="0" borderId="0" xfId="0" applyFont="1" applyFill="1" applyBorder="1" applyAlignment="1">
      <alignment wrapText="1"/>
    </xf>
    <xf numFmtId="176" fontId="86" fillId="10" borderId="0" xfId="0" applyNumberFormat="1" applyFont="1" applyFill="1" applyBorder="1" applyAlignment="1">
      <alignment horizontal="center"/>
    </xf>
    <xf numFmtId="2" fontId="86" fillId="0" borderId="0" xfId="0" applyNumberFormat="1" applyFont="1" applyBorder="1" applyAlignment="1">
      <alignment horizontal="center"/>
    </xf>
    <xf numFmtId="3" fontId="125" fillId="0" borderId="0" xfId="0" applyNumberFormat="1" applyFont="1" applyBorder="1" applyAlignment="1">
      <alignment horizontal="left" wrapText="1"/>
    </xf>
    <xf numFmtId="0" fontId="124" fillId="0" borderId="0" xfId="0" applyFont="1" applyFill="1"/>
    <xf numFmtId="176" fontId="107" fillId="0" borderId="0" xfId="0" applyNumberFormat="1" applyFont="1" applyBorder="1" applyAlignment="1">
      <alignment wrapText="1"/>
    </xf>
    <xf numFmtId="176" fontId="107" fillId="0" borderId="0" xfId="0" applyNumberFormat="1" applyFont="1" applyFill="1" applyBorder="1" applyAlignment="1">
      <alignment horizontal="left" wrapText="1"/>
    </xf>
    <xf numFmtId="176" fontId="122" fillId="0" borderId="0" xfId="0" applyNumberFormat="1" applyFont="1" applyBorder="1" applyAlignment="1"/>
    <xf numFmtId="176" fontId="122" fillId="0" borderId="0" xfId="0" applyNumberFormat="1" applyFont="1" applyBorder="1" applyAlignment="1">
      <alignment horizontal="left" wrapText="1"/>
    </xf>
    <xf numFmtId="176" fontId="122" fillId="0" borderId="0" xfId="0" applyNumberFormat="1" applyFont="1" applyBorder="1" applyAlignment="1">
      <alignment horizontal="right" wrapText="1"/>
    </xf>
    <xf numFmtId="4" fontId="86" fillId="0" borderId="0" xfId="0" applyNumberFormat="1" applyFont="1" applyBorder="1" applyAlignment="1">
      <alignment wrapText="1"/>
    </xf>
    <xf numFmtId="4" fontId="86" fillId="0" borderId="0" xfId="0" applyNumberFormat="1" applyFont="1" applyFill="1" applyBorder="1" applyAlignment="1">
      <alignment horizontal="left" wrapText="1"/>
    </xf>
    <xf numFmtId="176" fontId="122" fillId="0" borderId="0" xfId="0" applyNumberFormat="1" applyFont="1" applyFill="1" applyBorder="1" applyAlignment="1">
      <alignment horizontal="left" wrapText="1"/>
    </xf>
    <xf numFmtId="176" fontId="123" fillId="0" borderId="0" xfId="0" applyNumberFormat="1" applyFont="1" applyBorder="1" applyAlignment="1">
      <alignment horizontal="left" wrapText="1"/>
    </xf>
    <xf numFmtId="4" fontId="84" fillId="0" borderId="0" xfId="0" applyNumberFormat="1" applyFont="1" applyBorder="1"/>
    <xf numFmtId="0" fontId="125" fillId="0" borderId="0" xfId="0" applyFont="1" applyBorder="1" applyAlignment="1">
      <alignment horizontal="left" wrapText="1"/>
    </xf>
    <xf numFmtId="0" fontId="104" fillId="0" borderId="0" xfId="0" applyFont="1" applyBorder="1" applyAlignment="1">
      <alignment wrapText="1"/>
    </xf>
    <xf numFmtId="176" fontId="124" fillId="0" borderId="0" xfId="0" applyNumberFormat="1" applyFont="1" applyBorder="1" applyAlignment="1">
      <alignment wrapText="1"/>
    </xf>
    <xf numFmtId="176" fontId="126" fillId="0" borderId="0" xfId="0" applyNumberFormat="1" applyFont="1" applyBorder="1" applyAlignment="1">
      <alignment wrapText="1"/>
    </xf>
    <xf numFmtId="176" fontId="86" fillId="0" borderId="0" xfId="0" applyNumberFormat="1" applyFont="1" applyBorder="1" applyAlignment="1">
      <alignment wrapText="1"/>
    </xf>
    <xf numFmtId="0" fontId="84" fillId="0" borderId="0" xfId="0" applyFont="1" applyFill="1" applyBorder="1"/>
    <xf numFmtId="3" fontId="87" fillId="0" borderId="0" xfId="0" applyNumberFormat="1" applyFont="1"/>
    <xf numFmtId="4" fontId="83" fillId="0" borderId="0" xfId="0" applyNumberFormat="1" applyFont="1"/>
    <xf numFmtId="4" fontId="87" fillId="0" borderId="0" xfId="0" applyNumberFormat="1" applyFont="1"/>
    <xf numFmtId="176" fontId="127" fillId="0" borderId="0" xfId="0" applyNumberFormat="1" applyFont="1" applyBorder="1" applyAlignment="1">
      <alignment horizontal="center"/>
    </xf>
    <xf numFmtId="4" fontId="122" fillId="0" borderId="0" xfId="0" applyNumberFormat="1" applyFont="1"/>
    <xf numFmtId="3" fontId="123" fillId="0" borderId="1" xfId="12" applyNumberFormat="1" applyFont="1" applyFill="1" applyBorder="1" applyAlignment="1">
      <alignment horizontal="center"/>
    </xf>
    <xf numFmtId="3" fontId="123" fillId="0" borderId="0" xfId="12" applyNumberFormat="1" applyFont="1" applyFill="1" applyBorder="1" applyAlignment="1">
      <alignment horizontal="center"/>
    </xf>
    <xf numFmtId="177" fontId="84" fillId="0" borderId="1" xfId="7" applyNumberFormat="1" applyFont="1" applyFill="1" applyBorder="1" applyAlignment="1">
      <alignment horizontal="center" vertical="center" wrapText="1"/>
    </xf>
    <xf numFmtId="177" fontId="84" fillId="0" borderId="0" xfId="7" applyNumberFormat="1" applyFont="1" applyFill="1" applyBorder="1" applyAlignment="1">
      <alignment horizontal="center" vertical="center" wrapText="1"/>
    </xf>
    <xf numFmtId="4" fontId="84" fillId="0" borderId="1" xfId="0" applyNumberFormat="1" applyFont="1" applyBorder="1" applyAlignment="1">
      <alignment horizontal="right"/>
    </xf>
    <xf numFmtId="4" fontId="86" fillId="0" borderId="1" xfId="0" applyNumberFormat="1" applyFont="1" applyBorder="1" applyAlignment="1">
      <alignment horizontal="right"/>
    </xf>
    <xf numFmtId="4" fontId="84" fillId="0" borderId="6" xfId="0" applyNumberFormat="1" applyFont="1" applyBorder="1" applyAlignment="1">
      <alignment horizontal="right"/>
    </xf>
    <xf numFmtId="4" fontId="84" fillId="0" borderId="1" xfId="0" applyNumberFormat="1" applyFont="1" applyFill="1" applyBorder="1" applyAlignment="1">
      <alignment horizontal="right"/>
    </xf>
    <xf numFmtId="4" fontId="86" fillId="10" borderId="1" xfId="0" applyNumberFormat="1" applyFont="1" applyFill="1" applyBorder="1" applyAlignment="1">
      <alignment horizontal="right"/>
    </xf>
    <xf numFmtId="4" fontId="86" fillId="9" borderId="1" xfId="12" applyNumberFormat="1" applyFont="1" applyFill="1" applyBorder="1" applyAlignment="1">
      <alignment horizontal="right"/>
    </xf>
    <xf numFmtId="4" fontId="86" fillId="10" borderId="1" xfId="12" applyNumberFormat="1" applyFont="1" applyFill="1" applyBorder="1" applyAlignment="1">
      <alignment horizontal="right"/>
    </xf>
    <xf numFmtId="0" fontId="84" fillId="0" borderId="1" xfId="0" applyFont="1" applyBorder="1" applyAlignment="1">
      <alignment vertical="center"/>
    </xf>
    <xf numFmtId="0" fontId="84" fillId="0" borderId="0" xfId="0" applyFont="1" applyFill="1" applyAlignment="1">
      <alignment horizontal="centerContinuous"/>
    </xf>
    <xf numFmtId="0" fontId="84" fillId="0" borderId="0" xfId="0" applyFont="1" applyFill="1" applyAlignment="1"/>
    <xf numFmtId="0" fontId="84" fillId="0" borderId="0" xfId="0" applyFont="1" applyFill="1" applyAlignment="1">
      <alignment horizontal="left"/>
    </xf>
    <xf numFmtId="0" fontId="86" fillId="0" borderId="0" xfId="0" applyFont="1" applyFill="1" applyBorder="1" applyAlignment="1">
      <alignment horizontal="center"/>
    </xf>
    <xf numFmtId="179" fontId="84" fillId="3" borderId="0" xfId="0" applyNumberFormat="1" applyFont="1" applyFill="1"/>
    <xf numFmtId="179" fontId="84" fillId="0" borderId="0" xfId="0" applyNumberFormat="1" applyFont="1" applyFill="1"/>
    <xf numFmtId="179" fontId="84" fillId="0" borderId="0" xfId="0" applyNumberFormat="1" applyFont="1"/>
    <xf numFmtId="0" fontId="84" fillId="0" borderId="1" xfId="6" applyFont="1" applyFill="1" applyBorder="1" applyAlignment="1">
      <alignment horizontal="left" vertical="center" wrapText="1"/>
    </xf>
    <xf numFmtId="179" fontId="84" fillId="0" borderId="1" xfId="0" applyNumberFormat="1" applyFont="1" applyFill="1" applyBorder="1" applyAlignment="1">
      <alignment horizontal="center" vertical="center"/>
    </xf>
    <xf numFmtId="0" fontId="84" fillId="0" borderId="4" xfId="0" applyFont="1" applyFill="1" applyBorder="1" applyAlignment="1">
      <alignment horizontal="left" vertical="center" wrapText="1"/>
    </xf>
    <xf numFmtId="0" fontId="86" fillId="0" borderId="0" xfId="0" applyFont="1" applyFill="1"/>
    <xf numFmtId="0" fontId="84" fillId="0" borderId="1" xfId="0" applyFont="1" applyBorder="1" applyAlignment="1">
      <alignment wrapText="1"/>
    </xf>
    <xf numFmtId="1" fontId="86" fillId="0" borderId="1" xfId="0" applyNumberFormat="1" applyFont="1" applyFill="1" applyBorder="1" applyAlignment="1">
      <alignment wrapText="1"/>
    </xf>
    <xf numFmtId="179" fontId="86" fillId="0" borderId="3" xfId="0" applyNumberFormat="1" applyFont="1" applyBorder="1" applyAlignment="1">
      <alignment wrapText="1"/>
    </xf>
    <xf numFmtId="179" fontId="86" fillId="0" borderId="1" xfId="0" applyNumberFormat="1" applyFont="1" applyBorder="1" applyAlignment="1">
      <alignment wrapText="1"/>
    </xf>
    <xf numFmtId="179" fontId="86" fillId="0" borderId="3" xfId="0" applyNumberFormat="1" applyFont="1" applyBorder="1" applyAlignment="1">
      <alignment horizontal="center" wrapText="1"/>
    </xf>
    <xf numFmtId="179" fontId="86" fillId="0" borderId="1" xfId="0" applyNumberFormat="1" applyFont="1" applyBorder="1" applyAlignment="1">
      <alignment horizontal="center" wrapText="1"/>
    </xf>
    <xf numFmtId="179" fontId="84" fillId="0" borderId="3" xfId="7" applyNumberFormat="1" applyFont="1" applyFill="1" applyBorder="1" applyAlignment="1">
      <alignment horizontal="center" vertical="center" wrapText="1"/>
    </xf>
    <xf numFmtId="179" fontId="84" fillId="0" borderId="1" xfId="7" applyNumberFormat="1" applyFont="1" applyFill="1" applyBorder="1" applyAlignment="1">
      <alignment horizontal="center" vertical="center" wrapText="1"/>
    </xf>
    <xf numFmtId="179" fontId="86" fillId="0" borderId="0" xfId="0" applyNumberFormat="1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4" fillId="0" borderId="6" xfId="0" applyFont="1" applyFill="1" applyBorder="1" applyAlignment="1">
      <alignment horizontal="left" vertical="center" wrapText="1"/>
    </xf>
    <xf numFmtId="179" fontId="84" fillId="7" borderId="0" xfId="0" applyNumberFormat="1" applyFont="1" applyFill="1"/>
    <xf numFmtId="0" fontId="84" fillId="0" borderId="1" xfId="9" applyFont="1" applyFill="1" applyBorder="1" applyAlignment="1">
      <alignment wrapText="1"/>
    </xf>
    <xf numFmtId="179" fontId="84" fillId="0" borderId="3" xfId="0" applyNumberFormat="1" applyFont="1" applyBorder="1"/>
    <xf numFmtId="179" fontId="84" fillId="0" borderId="2" xfId="0" applyNumberFormat="1" applyFont="1" applyBorder="1"/>
    <xf numFmtId="0" fontId="84" fillId="0" borderId="1" xfId="0" applyFont="1" applyBorder="1" applyAlignment="1">
      <alignment horizontal="left" vertical="top" wrapText="1"/>
    </xf>
    <xf numFmtId="0" fontId="86" fillId="0" borderId="4" xfId="0" applyFont="1" applyBorder="1" applyAlignment="1">
      <alignment wrapText="1"/>
    </xf>
    <xf numFmtId="0" fontId="84" fillId="0" borderId="1" xfId="0" applyFont="1" applyBorder="1" applyAlignment="1">
      <alignment vertical="center" wrapText="1"/>
    </xf>
    <xf numFmtId="0" fontId="84" fillId="0" borderId="4" xfId="0" applyFont="1" applyFill="1" applyBorder="1" applyAlignment="1">
      <alignment vertical="center" wrapText="1"/>
    </xf>
    <xf numFmtId="179" fontId="86" fillId="0" borderId="3" xfId="0" applyNumberFormat="1" applyFont="1" applyFill="1" applyBorder="1" applyAlignment="1">
      <alignment horizontal="center" wrapText="1"/>
    </xf>
    <xf numFmtId="179" fontId="86" fillId="0" borderId="1" xfId="0" applyNumberFormat="1" applyFont="1" applyFill="1" applyBorder="1" applyAlignment="1">
      <alignment horizontal="center" wrapText="1"/>
    </xf>
    <xf numFmtId="176" fontId="84" fillId="0" borderId="1" xfId="0" applyNumberFormat="1" applyFont="1" applyBorder="1" applyAlignment="1">
      <alignment vertical="center" wrapText="1"/>
    </xf>
    <xf numFmtId="179" fontId="86" fillId="8" borderId="3" xfId="0" applyNumberFormat="1" applyFont="1" applyFill="1" applyBorder="1" applyAlignment="1">
      <alignment horizontal="center" wrapText="1"/>
    </xf>
    <xf numFmtId="179" fontId="86" fillId="8" borderId="1" xfId="0" applyNumberFormat="1" applyFont="1" applyFill="1" applyBorder="1" applyAlignment="1">
      <alignment horizontal="center" wrapText="1"/>
    </xf>
    <xf numFmtId="0" fontId="84" fillId="8" borderId="0" xfId="0" applyFont="1" applyFill="1"/>
    <xf numFmtId="3" fontId="84" fillId="0" borderId="1" xfId="0" applyNumberFormat="1" applyFont="1" applyFill="1" applyBorder="1" applyAlignment="1">
      <alignment horizontal="center" vertical="center"/>
    </xf>
    <xf numFmtId="3" fontId="84" fillId="0" borderId="3" xfId="0" applyNumberFormat="1" applyFont="1" applyFill="1" applyBorder="1" applyAlignment="1">
      <alignment horizontal="center" vertical="center"/>
    </xf>
    <xf numFmtId="0" fontId="84" fillId="0" borderId="0" xfId="0" applyFont="1" applyAlignment="1">
      <alignment vertical="top" wrapText="1"/>
    </xf>
    <xf numFmtId="0" fontId="86" fillId="0" borderId="3" xfId="0" applyFont="1" applyFill="1" applyBorder="1" applyAlignment="1">
      <alignment wrapText="1"/>
    </xf>
    <xf numFmtId="4" fontId="86" fillId="0" borderId="1" xfId="0" applyNumberFormat="1" applyFont="1" applyFill="1" applyBorder="1" applyAlignment="1">
      <alignment horizontal="center" wrapText="1"/>
    </xf>
    <xf numFmtId="1" fontId="84" fillId="0" borderId="0" xfId="0" applyNumberFormat="1" applyFont="1" applyFill="1"/>
    <xf numFmtId="1" fontId="84" fillId="0" borderId="0" xfId="0" applyNumberFormat="1" applyFont="1"/>
    <xf numFmtId="0" fontId="128" fillId="0" borderId="0" xfId="0" applyFont="1" applyFill="1"/>
    <xf numFmtId="0" fontId="128" fillId="0" borderId="0" xfId="0" applyFont="1"/>
    <xf numFmtId="0" fontId="109" fillId="0" borderId="0" xfId="0" applyFont="1" applyFill="1"/>
    <xf numFmtId="0" fontId="84" fillId="0" borderId="0" xfId="0" applyFont="1" applyAlignment="1">
      <alignment horizontal="center"/>
    </xf>
    <xf numFmtId="0" fontId="84" fillId="0" borderId="3" xfId="0" applyFont="1" applyBorder="1" applyAlignment="1">
      <alignment horizontal="center" vertical="top" wrapText="1"/>
    </xf>
    <xf numFmtId="0" fontId="84" fillId="0" borderId="1" xfId="0" applyFont="1" applyBorder="1" applyAlignment="1">
      <alignment horizontal="center" vertical="top" wrapText="1"/>
    </xf>
    <xf numFmtId="0" fontId="128" fillId="0" borderId="1" xfId="0" applyFont="1" applyBorder="1" applyAlignment="1">
      <alignment horizontal="center"/>
    </xf>
    <xf numFmtId="179" fontId="129" fillId="0" borderId="1" xfId="0" applyNumberFormat="1" applyFont="1" applyBorder="1" applyAlignment="1">
      <alignment wrapText="1"/>
    </xf>
    <xf numFmtId="179" fontId="86" fillId="0" borderId="0" xfId="0" applyNumberFormat="1" applyFont="1" applyBorder="1"/>
    <xf numFmtId="0" fontId="84" fillId="0" borderId="1" xfId="9" applyFont="1" applyFill="1" applyBorder="1" applyAlignment="1">
      <alignment vertical="center" wrapText="1"/>
    </xf>
    <xf numFmtId="0" fontId="84" fillId="9" borderId="1" xfId="6" applyFont="1" applyFill="1" applyBorder="1" applyAlignment="1">
      <alignment vertical="center" wrapText="1"/>
    </xf>
    <xf numFmtId="0" fontId="84" fillId="10" borderId="1" xfId="0" applyFont="1" applyFill="1" applyBorder="1" applyAlignment="1">
      <alignment vertical="center" wrapText="1"/>
    </xf>
    <xf numFmtId="0" fontId="84" fillId="0" borderId="1" xfId="6" applyFont="1" applyFill="1" applyBorder="1" applyAlignment="1">
      <alignment vertical="center" wrapText="1"/>
    </xf>
    <xf numFmtId="179" fontId="84" fillId="0" borderId="1" xfId="8" applyNumberFormat="1" applyFont="1" applyFill="1" applyBorder="1" applyAlignment="1">
      <alignment vertical="center" wrapText="1"/>
    </xf>
    <xf numFmtId="0" fontId="84" fillId="0" borderId="1" xfId="0" applyFont="1" applyBorder="1" applyAlignment="1"/>
    <xf numFmtId="0" fontId="84" fillId="0" borderId="6" xfId="9" applyFont="1" applyFill="1" applyBorder="1" applyAlignment="1">
      <alignment vertical="center" wrapText="1"/>
    </xf>
    <xf numFmtId="0" fontId="84" fillId="0" borderId="6" xfId="0" applyFont="1" applyFill="1" applyBorder="1" applyAlignment="1">
      <alignment vertical="center" wrapText="1"/>
    </xf>
    <xf numFmtId="0" fontId="130" fillId="0" borderId="1" xfId="0" applyNumberFormat="1" applyFont="1" applyFill="1" applyBorder="1" applyAlignment="1" applyProtection="1">
      <alignment vertical="center"/>
    </xf>
    <xf numFmtId="0" fontId="130" fillId="0" borderId="1" xfId="0" applyNumberFormat="1" applyFont="1" applyFill="1" applyBorder="1" applyAlignment="1" applyProtection="1">
      <alignment vertical="center" wrapText="1"/>
    </xf>
    <xf numFmtId="0" fontId="130" fillId="0" borderId="6" xfId="0" applyNumberFormat="1" applyFont="1" applyFill="1" applyBorder="1" applyAlignment="1" applyProtection="1">
      <alignment vertical="center" wrapText="1"/>
    </xf>
    <xf numFmtId="0" fontId="84" fillId="2" borderId="1" xfId="0" applyFont="1" applyFill="1" applyBorder="1" applyAlignment="1">
      <alignment vertical="center" wrapText="1"/>
    </xf>
    <xf numFmtId="0" fontId="84" fillId="0" borderId="1" xfId="7" applyFont="1" applyFill="1" applyBorder="1" applyAlignment="1">
      <alignment vertical="center" wrapText="1"/>
    </xf>
    <xf numFmtId="0" fontId="84" fillId="3" borderId="1" xfId="0" applyFont="1" applyFill="1" applyBorder="1" applyAlignment="1">
      <alignment vertical="center" wrapText="1"/>
    </xf>
    <xf numFmtId="0" fontId="84" fillId="0" borderId="8" xfId="0" applyFont="1" applyFill="1" applyBorder="1" applyAlignment="1">
      <alignment vertical="center" wrapText="1"/>
    </xf>
    <xf numFmtId="0" fontId="84" fillId="0" borderId="1" xfId="6" applyFont="1" applyFill="1" applyBorder="1" applyAlignment="1">
      <alignment vertical="top" wrapText="1"/>
    </xf>
    <xf numFmtId="0" fontId="84" fillId="9" borderId="0" xfId="0" applyFont="1" applyFill="1" applyBorder="1" applyAlignment="1">
      <alignment vertical="center" wrapText="1"/>
    </xf>
    <xf numFmtId="4" fontId="84" fillId="0" borderId="1" xfId="0" applyNumberFormat="1" applyFont="1" applyBorder="1" applyAlignment="1"/>
    <xf numFmtId="4" fontId="84" fillId="0" borderId="1" xfId="0" applyNumberFormat="1" applyFont="1" applyFill="1" applyBorder="1" applyAlignment="1">
      <alignment vertical="center"/>
    </xf>
    <xf numFmtId="4" fontId="84" fillId="0" borderId="1" xfId="0" applyNumberFormat="1" applyFont="1" applyFill="1" applyBorder="1" applyAlignment="1"/>
    <xf numFmtId="4" fontId="84" fillId="0" borderId="1" xfId="9" applyNumberFormat="1" applyFont="1" applyFill="1" applyBorder="1" applyAlignment="1">
      <alignment vertical="center"/>
    </xf>
    <xf numFmtId="4" fontId="84" fillId="0" borderId="1" xfId="8" applyNumberFormat="1" applyFont="1" applyFill="1" applyBorder="1" applyAlignment="1">
      <alignment vertical="center" wrapText="1"/>
    </xf>
    <xf numFmtId="4" fontId="84" fillId="10" borderId="1" xfId="2" applyNumberFormat="1" applyFont="1" applyFill="1" applyBorder="1" applyAlignment="1"/>
    <xf numFmtId="4" fontId="84" fillId="10" borderId="1" xfId="0" applyNumberFormat="1" applyFont="1" applyFill="1" applyBorder="1" applyAlignment="1">
      <alignment vertical="center"/>
    </xf>
    <xf numFmtId="4" fontId="84" fillId="0" borderId="1" xfId="2" applyNumberFormat="1" applyFont="1" applyFill="1" applyBorder="1" applyAlignment="1"/>
    <xf numFmtId="4" fontId="84" fillId="0" borderId="1" xfId="0" applyNumberFormat="1" applyFont="1" applyFill="1" applyBorder="1" applyAlignment="1">
      <alignment vertical="center" wrapText="1"/>
    </xf>
    <xf numFmtId="4" fontId="84" fillId="0" borderId="1" xfId="2" applyNumberFormat="1" applyFont="1" applyFill="1" applyBorder="1" applyAlignment="1">
      <alignment vertical="center" wrapText="1"/>
    </xf>
    <xf numFmtId="4" fontId="84" fillId="9" borderId="1" xfId="0" applyNumberFormat="1" applyFont="1" applyFill="1" applyBorder="1" applyAlignment="1">
      <alignment vertical="center"/>
    </xf>
    <xf numFmtId="4" fontId="84" fillId="9" borderId="1" xfId="8" applyNumberFormat="1" applyFont="1" applyFill="1" applyBorder="1" applyAlignment="1">
      <alignment vertical="center" wrapText="1"/>
    </xf>
    <xf numFmtId="4" fontId="84" fillId="0" borderId="1" xfId="7" applyNumberFormat="1" applyFont="1" applyFill="1" applyBorder="1" applyAlignment="1">
      <alignment vertical="center" wrapText="1"/>
    </xf>
    <xf numFmtId="4" fontId="84" fillId="0" borderId="4" xfId="7" applyNumberFormat="1" applyFont="1" applyFill="1" applyBorder="1" applyAlignment="1">
      <alignment vertical="center" wrapText="1"/>
    </xf>
    <xf numFmtId="4" fontId="84" fillId="0" borderId="4" xfId="0" applyNumberFormat="1" applyFont="1" applyFill="1" applyBorder="1" applyAlignment="1">
      <alignment vertical="center"/>
    </xf>
    <xf numFmtId="4" fontId="86" fillId="0" borderId="1" xfId="0" applyNumberFormat="1" applyFont="1" applyFill="1" applyBorder="1" applyAlignment="1">
      <alignment vertical="center"/>
    </xf>
    <xf numFmtId="4" fontId="84" fillId="0" borderId="8" xfId="8" applyNumberFormat="1" applyFont="1" applyFill="1" applyBorder="1" applyAlignment="1">
      <alignment vertical="center" wrapText="1"/>
    </xf>
    <xf numFmtId="4" fontId="109" fillId="0" borderId="1" xfId="0" applyNumberFormat="1" applyFont="1" applyBorder="1" applyAlignment="1"/>
    <xf numFmtId="4" fontId="84" fillId="0" borderId="6" xfId="7" applyNumberFormat="1" applyFont="1" applyFill="1" applyBorder="1" applyAlignment="1">
      <alignment vertical="center" wrapText="1"/>
    </xf>
    <xf numFmtId="4" fontId="84" fillId="0" borderId="6" xfId="9" applyNumberFormat="1" applyFont="1" applyFill="1" applyBorder="1" applyAlignment="1">
      <alignment vertical="center"/>
    </xf>
    <xf numFmtId="4" fontId="84" fillId="0" borderId="4" xfId="0" applyNumberFormat="1" applyFont="1" applyFill="1" applyBorder="1" applyAlignment="1">
      <alignment vertical="center" wrapText="1"/>
    </xf>
    <xf numFmtId="4" fontId="86" fillId="0" borderId="1" xfId="0" applyNumberFormat="1" applyFont="1" applyBorder="1" applyAlignment="1">
      <alignment vertical="center"/>
    </xf>
    <xf numFmtId="4" fontId="84" fillId="0" borderId="6" xfId="0" applyNumberFormat="1" applyFont="1" applyFill="1" applyBorder="1" applyAlignment="1">
      <alignment vertical="center"/>
    </xf>
    <xf numFmtId="4" fontId="84" fillId="0" borderId="4" xfId="0" applyNumberFormat="1" applyFont="1" applyBorder="1" applyAlignment="1"/>
    <xf numFmtId="4" fontId="84" fillId="10" borderId="1" xfId="0" applyNumberFormat="1" applyFont="1" applyFill="1" applyBorder="1" applyAlignment="1">
      <alignment vertical="center" wrapText="1"/>
    </xf>
    <xf numFmtId="4" fontId="84" fillId="0" borderId="1" xfId="9" applyNumberFormat="1" applyFont="1" applyFill="1" applyBorder="1" applyAlignment="1">
      <alignment vertical="center" wrapText="1"/>
    </xf>
    <xf numFmtId="4" fontId="84" fillId="0" borderId="6" xfId="0" applyNumberFormat="1" applyFont="1" applyFill="1" applyBorder="1" applyAlignment="1">
      <alignment vertical="center" wrapText="1"/>
    </xf>
    <xf numFmtId="4" fontId="128" fillId="9" borderId="1" xfId="0" applyNumberFormat="1" applyFont="1" applyFill="1" applyBorder="1" applyAlignment="1"/>
    <xf numFmtId="4" fontId="84" fillId="0" borderId="1" xfId="0" applyNumberFormat="1" applyFont="1" applyBorder="1" applyAlignment="1">
      <alignment vertical="center"/>
    </xf>
    <xf numFmtId="4" fontId="84" fillId="0" borderId="0" xfId="0" applyNumberFormat="1" applyFont="1" applyFill="1" applyAlignment="1">
      <alignment vertical="center"/>
    </xf>
    <xf numFmtId="4" fontId="84" fillId="2" borderId="1" xfId="0" applyNumberFormat="1" applyFont="1" applyFill="1" applyBorder="1" applyAlignment="1">
      <alignment vertical="center"/>
    </xf>
    <xf numFmtId="4" fontId="84" fillId="2" borderId="1" xfId="7" applyNumberFormat="1" applyFont="1" applyFill="1" applyBorder="1" applyAlignment="1">
      <alignment vertical="center" wrapText="1"/>
    </xf>
    <xf numFmtId="4" fontId="86" fillId="0" borderId="4" xfId="0" applyNumberFormat="1" applyFont="1" applyBorder="1" applyAlignment="1">
      <alignment vertical="center"/>
    </xf>
    <xf numFmtId="4" fontId="84" fillId="0" borderId="6" xfId="7" applyNumberFormat="1" applyFont="1" applyFill="1" applyBorder="1" applyAlignment="1">
      <alignment vertical="center"/>
    </xf>
    <xf numFmtId="4" fontId="84" fillId="3" borderId="1" xfId="7" applyNumberFormat="1" applyFont="1" applyFill="1" applyBorder="1" applyAlignment="1">
      <alignment vertical="center" wrapText="1"/>
    </xf>
    <xf numFmtId="4" fontId="84" fillId="3" borderId="1" xfId="0" applyNumberFormat="1" applyFont="1" applyFill="1" applyBorder="1" applyAlignment="1">
      <alignment vertical="center"/>
    </xf>
    <xf numFmtId="4" fontId="84" fillId="0" borderId="1" xfId="0" applyNumberFormat="1" applyFont="1" applyBorder="1" applyAlignment="1">
      <alignment wrapText="1"/>
    </xf>
    <xf numFmtId="4" fontId="86" fillId="0" borderId="1" xfId="0" applyNumberFormat="1" applyFont="1" applyFill="1" applyBorder="1" applyAlignment="1">
      <alignment vertical="center" wrapText="1"/>
    </xf>
    <xf numFmtId="4" fontId="84" fillId="0" borderId="8" xfId="7" applyNumberFormat="1" applyFont="1" applyFill="1" applyBorder="1" applyAlignment="1">
      <alignment vertical="center" wrapText="1"/>
    </xf>
    <xf numFmtId="4" fontId="84" fillId="0" borderId="8" xfId="0" applyNumberFormat="1" applyFont="1" applyFill="1" applyBorder="1" applyAlignment="1">
      <alignment vertical="center"/>
    </xf>
    <xf numFmtId="4" fontId="84" fillId="0" borderId="1" xfId="0" applyNumberFormat="1" applyFont="1" applyBorder="1" applyAlignment="1">
      <alignment vertical="center" wrapText="1"/>
    </xf>
    <xf numFmtId="4" fontId="86" fillId="0" borderId="1" xfId="0" applyNumberFormat="1" applyFont="1" applyFill="1" applyBorder="1" applyAlignment="1">
      <alignment wrapText="1"/>
    </xf>
    <xf numFmtId="4" fontId="84" fillId="0" borderId="8" xfId="7" applyNumberFormat="1" applyFont="1" applyFill="1" applyBorder="1" applyAlignment="1">
      <alignment vertical="center"/>
    </xf>
    <xf numFmtId="4" fontId="84" fillId="0" borderId="1" xfId="6" applyNumberFormat="1" applyFont="1" applyFill="1" applyBorder="1" applyAlignment="1">
      <alignment vertical="center" wrapText="1"/>
    </xf>
    <xf numFmtId="4" fontId="84" fillId="0" borderId="2" xfId="0" applyNumberFormat="1" applyFont="1" applyFill="1" applyBorder="1" applyAlignment="1">
      <alignment vertical="center"/>
    </xf>
    <xf numFmtId="4" fontId="84" fillId="0" borderId="1" xfId="0" applyNumberFormat="1" applyFont="1" applyFill="1" applyBorder="1" applyAlignment="1">
      <alignment wrapText="1"/>
    </xf>
    <xf numFmtId="4" fontId="84" fillId="0" borderId="6" xfId="0" applyNumberFormat="1" applyFont="1" applyBorder="1" applyAlignment="1">
      <alignment wrapText="1"/>
    </xf>
    <xf numFmtId="4" fontId="86" fillId="0" borderId="6" xfId="0" applyNumberFormat="1" applyFont="1" applyBorder="1" applyAlignment="1">
      <alignment wrapText="1"/>
    </xf>
    <xf numFmtId="4" fontId="84" fillId="0" borderId="4" xfId="7" applyNumberFormat="1" applyFont="1" applyFill="1" applyBorder="1" applyAlignment="1">
      <alignment vertical="center"/>
    </xf>
    <xf numFmtId="179" fontId="86" fillId="12" borderId="0" xfId="0" applyNumberFormat="1" applyFont="1" applyFill="1"/>
    <xf numFmtId="3" fontId="86" fillId="12" borderId="0" xfId="0" applyNumberFormat="1" applyFont="1" applyFill="1"/>
    <xf numFmtId="0" fontId="86" fillId="12" borderId="0" xfId="0" applyFont="1" applyFill="1"/>
    <xf numFmtId="0" fontId="84" fillId="0" borderId="4" xfId="7" applyFont="1" applyFill="1" applyBorder="1" applyAlignment="1">
      <alignment horizontal="left" vertical="center" wrapText="1"/>
    </xf>
    <xf numFmtId="0" fontId="84" fillId="0" borderId="1" xfId="8" applyFont="1" applyFill="1" applyBorder="1" applyAlignment="1">
      <alignment horizontal="left" vertical="center" wrapText="1"/>
    </xf>
    <xf numFmtId="179" fontId="84" fillId="0" borderId="0" xfId="0" applyNumberFormat="1" applyFont="1" applyFill="1" applyBorder="1" applyAlignment="1">
      <alignment horizontal="center" vertical="center"/>
    </xf>
    <xf numFmtId="49" fontId="84" fillId="0" borderId="1" xfId="0" applyNumberFormat="1" applyFont="1" applyBorder="1" applyAlignment="1">
      <alignment horizontal="left" vertical="top" wrapText="1"/>
    </xf>
    <xf numFmtId="179" fontId="86" fillId="0" borderId="0" xfId="0" applyNumberFormat="1" applyFont="1"/>
    <xf numFmtId="179" fontId="84" fillId="12" borderId="0" xfId="0" applyNumberFormat="1" applyFont="1" applyFill="1"/>
    <xf numFmtId="0" fontId="84" fillId="12" borderId="0" xfId="0" applyFont="1" applyFill="1"/>
    <xf numFmtId="0" fontId="86" fillId="0" borderId="1" xfId="0" applyFont="1" applyFill="1" applyBorder="1" applyAlignment="1">
      <alignment horizontal="left" vertical="center" wrapText="1"/>
    </xf>
    <xf numFmtId="0" fontId="86" fillId="0" borderId="1" xfId="7" applyFont="1" applyFill="1" applyBorder="1" applyAlignment="1">
      <alignment horizontal="left" vertical="center" wrapText="1"/>
    </xf>
    <xf numFmtId="1" fontId="86" fillId="12" borderId="1" xfId="5" applyNumberFormat="1" applyFont="1" applyFill="1" applyBorder="1" applyAlignment="1">
      <alignment horizontal="center" vertical="top"/>
    </xf>
    <xf numFmtId="4" fontId="86" fillId="12" borderId="1" xfId="0" applyNumberFormat="1" applyFont="1" applyFill="1" applyBorder="1" applyAlignment="1">
      <alignment vertical="center"/>
    </xf>
    <xf numFmtId="4" fontId="131" fillId="0" borderId="1" xfId="0" applyNumberFormat="1" applyFont="1" applyBorder="1" applyAlignment="1">
      <alignment vertical="center"/>
    </xf>
    <xf numFmtId="4" fontId="84" fillId="0" borderId="1" xfId="3" applyNumberFormat="1" applyFont="1" applyFill="1" applyBorder="1" applyAlignment="1">
      <alignment vertical="center" wrapText="1"/>
    </xf>
    <xf numFmtId="4" fontId="131" fillId="0" borderId="1" xfId="0" applyNumberFormat="1" applyFont="1" applyFill="1" applyBorder="1" applyAlignment="1">
      <alignment vertical="center"/>
    </xf>
    <xf numFmtId="4" fontId="131" fillId="9" borderId="1" xfId="0" applyNumberFormat="1" applyFont="1" applyFill="1" applyBorder="1" applyAlignment="1">
      <alignment vertical="center"/>
    </xf>
    <xf numFmtId="4" fontId="86" fillId="0" borderId="1" xfId="7" applyNumberFormat="1" applyFont="1" applyFill="1" applyBorder="1" applyAlignment="1">
      <alignment vertical="center" wrapText="1"/>
    </xf>
    <xf numFmtId="49" fontId="84" fillId="0" borderId="1" xfId="6" applyNumberFormat="1" applyFont="1" applyFill="1" applyBorder="1" applyAlignment="1">
      <alignment horizontal="left" vertical="center" wrapText="1"/>
    </xf>
    <xf numFmtId="0" fontId="86" fillId="12" borderId="1" xfId="5" applyFont="1" applyFill="1" applyBorder="1" applyAlignment="1">
      <alignment horizontal="left" vertical="center" wrapText="1"/>
    </xf>
    <xf numFmtId="4" fontId="84" fillId="0" borderId="0" xfId="0" applyNumberFormat="1" applyFont="1" applyAlignment="1"/>
    <xf numFmtId="4" fontId="84" fillId="9" borderId="1" xfId="0" applyNumberFormat="1" applyFont="1" applyFill="1" applyBorder="1" applyAlignment="1"/>
    <xf numFmtId="0" fontId="84" fillId="0" borderId="0" xfId="4" applyFont="1"/>
    <xf numFmtId="0" fontId="84" fillId="0" borderId="0" xfId="4" applyFont="1" applyBorder="1" applyAlignment="1"/>
    <xf numFmtId="4" fontId="84" fillId="10" borderId="1" xfId="0" applyNumberFormat="1" applyFont="1" applyFill="1" applyBorder="1" applyAlignment="1">
      <alignment horizontal="right"/>
    </xf>
    <xf numFmtId="4" fontId="86" fillId="0" borderId="1" xfId="0" applyNumberFormat="1" applyFont="1" applyFill="1" applyBorder="1" applyAlignment="1">
      <alignment horizontal="right"/>
    </xf>
    <xf numFmtId="4" fontId="84" fillId="0" borderId="1" xfId="0" applyNumberFormat="1" applyFont="1" applyBorder="1" applyAlignment="1">
      <alignment horizontal="right" wrapText="1"/>
    </xf>
    <xf numFmtId="4" fontId="84" fillId="0" borderId="1" xfId="12" applyNumberFormat="1" applyFont="1" applyBorder="1" applyAlignment="1">
      <alignment horizontal="right"/>
    </xf>
    <xf numFmtId="0" fontId="110" fillId="0" borderId="0" xfId="0" applyFont="1"/>
    <xf numFmtId="0" fontId="121" fillId="0" borderId="0" xfId="0" applyFont="1"/>
    <xf numFmtId="0" fontId="104" fillId="0" borderId="0" xfId="0" applyFont="1" applyAlignment="1">
      <alignment wrapText="1"/>
    </xf>
    <xf numFmtId="0" fontId="132" fillId="0" borderId="0" xfId="0" applyFont="1"/>
    <xf numFmtId="4" fontId="85" fillId="11" borderId="1" xfId="0" applyNumberFormat="1" applyFont="1" applyFill="1" applyBorder="1" applyAlignment="1">
      <alignment horizontal="right" vertical="center" wrapText="1"/>
    </xf>
    <xf numFmtId="0" fontId="104" fillId="9" borderId="0" xfId="0" applyFont="1" applyFill="1"/>
    <xf numFmtId="4" fontId="101" fillId="5" borderId="1" xfId="0" applyNumberFormat="1" applyFont="1" applyFill="1" applyBorder="1" applyAlignment="1">
      <alignment horizontal="right" vertical="top" wrapText="1" shrinkToFit="1"/>
    </xf>
    <xf numFmtId="4" fontId="88" fillId="0" borderId="1" xfId="0" applyNumberFormat="1" applyFont="1" applyFill="1" applyBorder="1" applyAlignment="1">
      <alignment horizontal="right" vertical="top" wrapText="1" shrinkToFit="1"/>
    </xf>
    <xf numFmtId="0" fontId="84" fillId="9" borderId="10" xfId="0" applyFont="1" applyFill="1" applyBorder="1" applyAlignment="1">
      <alignment horizontal="justify" vertical="top" wrapText="1"/>
    </xf>
    <xf numFmtId="4" fontId="85" fillId="9" borderId="1" xfId="0" applyNumberFormat="1" applyFont="1" applyFill="1" applyBorder="1" applyAlignment="1">
      <alignment horizontal="right" vertical="center" wrapText="1"/>
    </xf>
    <xf numFmtId="4" fontId="104" fillId="0" borderId="0" xfId="0" applyNumberFormat="1" applyFont="1"/>
    <xf numFmtId="0" fontId="85" fillId="0" borderId="1" xfId="0" applyFont="1" applyFill="1" applyBorder="1" applyAlignment="1">
      <alignment horizontal="center" vertical="top" wrapText="1" shrinkToFit="1"/>
    </xf>
    <xf numFmtId="49" fontId="85" fillId="0" borderId="1" xfId="0" applyNumberFormat="1" applyFont="1" applyFill="1" applyBorder="1" applyAlignment="1">
      <alignment horizontal="center" vertical="top" wrapText="1" shrinkToFit="1"/>
    </xf>
    <xf numFmtId="0" fontId="85" fillId="0" borderId="1" xfId="0" applyFont="1" applyFill="1" applyBorder="1" applyAlignment="1">
      <alignment vertical="top" wrapText="1" shrinkToFit="1"/>
    </xf>
    <xf numFmtId="0" fontId="85" fillId="0" borderId="10" xfId="0" applyFont="1" applyFill="1" applyBorder="1" applyAlignment="1">
      <alignment horizontal="justify" vertical="center" wrapText="1"/>
    </xf>
    <xf numFmtId="0" fontId="85" fillId="11" borderId="1" xfId="0" applyFont="1" applyFill="1" applyBorder="1" applyAlignment="1">
      <alignment horizontal="center" vertical="top" wrapText="1" shrinkToFit="1"/>
    </xf>
    <xf numFmtId="49" fontId="85" fillId="11" borderId="1" xfId="0" applyNumberFormat="1" applyFont="1" applyFill="1" applyBorder="1" applyAlignment="1">
      <alignment horizontal="center" vertical="top" wrapText="1" shrinkToFit="1"/>
    </xf>
    <xf numFmtId="0" fontId="85" fillId="11" borderId="1" xfId="0" applyFont="1" applyFill="1" applyBorder="1" applyAlignment="1">
      <alignment vertical="top" wrapText="1" shrinkToFit="1"/>
    </xf>
    <xf numFmtId="0" fontId="85" fillId="11" borderId="10" xfId="0" applyFont="1" applyFill="1" applyBorder="1" applyAlignment="1">
      <alignment horizontal="justify" vertical="center" wrapText="1"/>
    </xf>
    <xf numFmtId="0" fontId="105" fillId="0" borderId="1" xfId="0" applyFont="1" applyFill="1" applyBorder="1" applyAlignment="1">
      <alignment horizontal="left" vertical="top" wrapText="1" shrinkToFit="1"/>
    </xf>
    <xf numFmtId="0" fontId="88" fillId="0" borderId="1" xfId="0" applyFont="1" applyFill="1" applyBorder="1" applyAlignment="1">
      <alignment horizontal="justify" vertical="center" wrapText="1"/>
    </xf>
    <xf numFmtId="4" fontId="88" fillId="0" borderId="1" xfId="0" applyNumberFormat="1" applyFont="1" applyFill="1" applyBorder="1" applyAlignment="1">
      <alignment horizontal="right" vertical="center" wrapText="1"/>
    </xf>
    <xf numFmtId="4" fontId="105" fillId="9" borderId="1" xfId="0" applyNumberFormat="1" applyFont="1" applyFill="1" applyBorder="1" applyAlignment="1">
      <alignment horizontal="right" vertical="center" wrapText="1"/>
    </xf>
    <xf numFmtId="0" fontId="105" fillId="0" borderId="10" xfId="0" applyFont="1" applyFill="1" applyBorder="1" applyAlignment="1">
      <alignment horizontal="justify" vertical="center" wrapText="1"/>
    </xf>
    <xf numFmtId="0" fontId="105" fillId="0" borderId="1" xfId="0" applyFont="1" applyFill="1" applyBorder="1" applyAlignment="1">
      <alignment horizontal="left" vertical="center" wrapText="1"/>
    </xf>
    <xf numFmtId="4" fontId="105" fillId="0" borderId="1" xfId="0" applyNumberFormat="1" applyFont="1" applyFill="1" applyBorder="1" applyAlignment="1">
      <alignment vertical="center" wrapText="1"/>
    </xf>
    <xf numFmtId="179" fontId="105" fillId="0" borderId="1" xfId="0" applyNumberFormat="1" applyFont="1" applyFill="1" applyBorder="1" applyAlignment="1">
      <alignment vertical="center" wrapText="1"/>
    </xf>
    <xf numFmtId="4" fontId="84" fillId="0" borderId="1" xfId="0" applyNumberFormat="1" applyFont="1" applyFill="1" applyBorder="1" applyAlignment="1">
      <alignment horizontal="right" vertical="center" wrapText="1"/>
    </xf>
    <xf numFmtId="0" fontId="114" fillId="0" borderId="0" xfId="0" applyFont="1" applyAlignment="1">
      <alignment horizontal="left"/>
    </xf>
    <xf numFmtId="0" fontId="105" fillId="9" borderId="12" xfId="0" applyFont="1" applyFill="1" applyBorder="1" applyAlignment="1">
      <alignment horizontal="left" vertical="center" wrapText="1"/>
    </xf>
    <xf numFmtId="4" fontId="105" fillId="9" borderId="6" xfId="0" applyNumberFormat="1" applyFont="1" applyFill="1" applyBorder="1" applyAlignment="1">
      <alignment horizontal="right" vertical="center" wrapText="1"/>
    </xf>
    <xf numFmtId="4" fontId="114" fillId="0" borderId="0" xfId="0" applyNumberFormat="1" applyFont="1" applyAlignment="1">
      <alignment horizontal="left"/>
    </xf>
    <xf numFmtId="0" fontId="105" fillId="9" borderId="1" xfId="0" applyFont="1" applyFill="1" applyBorder="1" applyAlignment="1">
      <alignment horizontal="left" vertical="center" wrapText="1"/>
    </xf>
    <xf numFmtId="0" fontId="105" fillId="9" borderId="2" xfId="0" applyFont="1" applyFill="1" applyBorder="1" applyAlignment="1">
      <alignment horizontal="left" vertical="center" wrapText="1"/>
    </xf>
    <xf numFmtId="4" fontId="85" fillId="11" borderId="1" xfId="0" applyNumberFormat="1" applyFont="1" applyFill="1" applyBorder="1" applyAlignment="1">
      <alignment horizontal="right" vertical="top" wrapText="1" shrinkToFit="1"/>
    </xf>
    <xf numFmtId="0" fontId="105" fillId="9" borderId="2" xfId="0" applyFont="1" applyFill="1" applyBorder="1" applyAlignment="1">
      <alignment horizontal="left" wrapText="1"/>
    </xf>
    <xf numFmtId="0" fontId="105" fillId="9" borderId="8" xfId="0" applyFont="1" applyFill="1" applyBorder="1" applyAlignment="1">
      <alignment horizontal="left" vertical="top" wrapText="1" shrinkToFit="1"/>
    </xf>
    <xf numFmtId="0" fontId="105" fillId="2" borderId="10" xfId="0" applyFont="1" applyFill="1" applyBorder="1" applyAlignment="1">
      <alignment horizontal="justify" vertical="center" wrapText="1"/>
    </xf>
    <xf numFmtId="3" fontId="114" fillId="0" borderId="0" xfId="0" applyNumberFormat="1" applyFont="1" applyAlignment="1">
      <alignment horizontal="left"/>
    </xf>
    <xf numFmtId="0" fontId="86" fillId="0" borderId="3" xfId="0" applyFont="1" applyFill="1" applyBorder="1" applyAlignment="1">
      <alignment horizontal="justify" vertical="center" wrapText="1"/>
    </xf>
    <xf numFmtId="189" fontId="84" fillId="0" borderId="0" xfId="0" applyNumberFormat="1" applyFont="1"/>
    <xf numFmtId="0" fontId="122" fillId="0" borderId="0" xfId="0" applyFont="1" applyAlignment="1">
      <alignment horizontal="left"/>
    </xf>
    <xf numFmtId="0" fontId="112" fillId="0" borderId="0" xfId="0" applyFont="1" applyAlignment="1">
      <alignment horizontal="right"/>
    </xf>
    <xf numFmtId="180" fontId="112" fillId="0" borderId="0" xfId="0" applyNumberFormat="1" applyFont="1" applyAlignment="1">
      <alignment horizontal="right"/>
    </xf>
    <xf numFmtId="0" fontId="128" fillId="0" borderId="0" xfId="0" applyFont="1" applyAlignment="1">
      <alignment horizontal="right"/>
    </xf>
    <xf numFmtId="3" fontId="128" fillId="0" borderId="0" xfId="0" applyNumberFormat="1" applyFont="1" applyAlignment="1">
      <alignment horizontal="right"/>
    </xf>
    <xf numFmtId="3" fontId="85" fillId="4" borderId="1" xfId="0" applyNumberFormat="1" applyFont="1" applyFill="1" applyBorder="1" applyAlignment="1">
      <alignment horizontal="right" vertical="top" wrapText="1" shrinkToFit="1"/>
    </xf>
    <xf numFmtId="4" fontId="128" fillId="0" borderId="0" xfId="0" applyNumberFormat="1" applyFont="1" applyAlignment="1">
      <alignment horizontal="right"/>
    </xf>
    <xf numFmtId="0" fontId="104" fillId="0" borderId="0" xfId="0" applyFont="1" applyAlignment="1">
      <alignment horizontal="right"/>
    </xf>
    <xf numFmtId="0" fontId="105" fillId="9" borderId="3" xfId="0" applyFont="1" applyFill="1" applyBorder="1" applyAlignment="1">
      <alignment horizontal="justify" vertical="center" wrapText="1"/>
    </xf>
    <xf numFmtId="4" fontId="105" fillId="9" borderId="1" xfId="12" applyNumberFormat="1" applyFont="1" applyFill="1" applyBorder="1" applyAlignment="1">
      <alignment horizontal="right" vertical="center"/>
    </xf>
    <xf numFmtId="3" fontId="114" fillId="9" borderId="0" xfId="0" applyNumberFormat="1" applyFont="1" applyFill="1"/>
    <xf numFmtId="0" fontId="114" fillId="9" borderId="0" xfId="0" applyFont="1" applyFill="1"/>
    <xf numFmtId="4" fontId="88" fillId="0" borderId="1" xfId="0" applyNumberFormat="1" applyFont="1" applyFill="1" applyBorder="1" applyAlignment="1">
      <alignment vertical="center" wrapText="1"/>
    </xf>
    <xf numFmtId="179" fontId="88" fillId="0" borderId="1" xfId="0" applyNumberFormat="1" applyFont="1" applyFill="1" applyBorder="1" applyAlignment="1">
      <alignment vertical="center" wrapText="1"/>
    </xf>
    <xf numFmtId="0" fontId="105" fillId="0" borderId="3" xfId="0" applyFont="1" applyFill="1" applyBorder="1" applyAlignment="1">
      <alignment horizontal="left" wrapText="1"/>
    </xf>
    <xf numFmtId="4" fontId="114" fillId="0" borderId="0" xfId="0" applyNumberFormat="1" applyFont="1" applyFill="1"/>
    <xf numFmtId="0" fontId="105" fillId="0" borderId="3" xfId="0" applyFont="1" applyFill="1" applyBorder="1" applyAlignment="1">
      <alignment wrapText="1"/>
    </xf>
    <xf numFmtId="0" fontId="105" fillId="0" borderId="10" xfId="0" applyFont="1" applyFill="1" applyBorder="1" applyAlignment="1">
      <alignment wrapText="1"/>
    </xf>
    <xf numFmtId="3" fontId="105" fillId="0" borderId="1" xfId="0" applyNumberFormat="1" applyFont="1" applyFill="1" applyBorder="1" applyAlignment="1">
      <alignment horizontal="center" vertical="center" wrapText="1"/>
    </xf>
    <xf numFmtId="3" fontId="113" fillId="0" borderId="0" xfId="0" applyNumberFormat="1" applyFont="1" applyFill="1"/>
    <xf numFmtId="0" fontId="105" fillId="0" borderId="2" xfId="0" applyFont="1" applyFill="1" applyBorder="1" applyAlignment="1">
      <alignment horizontal="justify" vertical="center" wrapText="1"/>
    </xf>
    <xf numFmtId="3" fontId="133" fillId="0" borderId="0" xfId="0" applyNumberFormat="1" applyFont="1" applyFill="1" applyAlignment="1">
      <alignment horizontal="left"/>
    </xf>
    <xf numFmtId="0" fontId="114" fillId="0" borderId="0" xfId="0" applyFont="1" applyFill="1" applyAlignment="1">
      <alignment horizontal="left"/>
    </xf>
    <xf numFmtId="0" fontId="88" fillId="0" borderId="11" xfId="0" applyFont="1" applyFill="1" applyBorder="1" applyAlignment="1">
      <alignment vertical="top" wrapText="1" shrinkToFit="1"/>
    </xf>
    <xf numFmtId="4" fontId="88" fillId="0" borderId="11" xfId="0" applyNumberFormat="1" applyFont="1" applyFill="1" applyBorder="1" applyAlignment="1">
      <alignment vertical="top" wrapText="1" shrinkToFit="1"/>
    </xf>
    <xf numFmtId="49" fontId="105" fillId="0" borderId="1" xfId="0" applyNumberFormat="1" applyFont="1" applyFill="1" applyBorder="1" applyAlignment="1">
      <alignment vertical="center" wrapText="1"/>
    </xf>
    <xf numFmtId="49" fontId="105" fillId="0" borderId="1" xfId="0" applyNumberFormat="1" applyFont="1" applyFill="1" applyBorder="1" applyAlignment="1">
      <alignment wrapText="1"/>
    </xf>
    <xf numFmtId="49" fontId="105" fillId="0" borderId="10" xfId="0" applyNumberFormat="1" applyFont="1" applyFill="1" applyBorder="1" applyAlignment="1">
      <alignment wrapText="1"/>
    </xf>
    <xf numFmtId="0" fontId="88" fillId="0" borderId="11" xfId="0" applyFont="1" applyFill="1" applyBorder="1" applyAlignment="1">
      <alignment horizontal="left" vertical="top" wrapText="1" shrinkToFit="1"/>
    </xf>
    <xf numFmtId="0" fontId="88" fillId="0" borderId="10" xfId="0" applyFont="1" applyFill="1" applyBorder="1" applyAlignment="1">
      <alignment horizontal="justify" vertical="center" wrapText="1"/>
    </xf>
    <xf numFmtId="0" fontId="88" fillId="0" borderId="8" xfId="0" applyFont="1" applyFill="1" applyBorder="1" applyAlignment="1">
      <alignment horizontal="left" vertical="top" wrapText="1" shrinkToFit="1"/>
    </xf>
    <xf numFmtId="4" fontId="88" fillId="0" borderId="11" xfId="0" applyNumberFormat="1" applyFont="1" applyFill="1" applyBorder="1" applyAlignment="1">
      <alignment horizontal="right" vertical="top" wrapText="1" shrinkToFit="1"/>
    </xf>
    <xf numFmtId="176" fontId="105" fillId="0" borderId="1" xfId="0" applyNumberFormat="1" applyFont="1" applyFill="1" applyBorder="1" applyAlignment="1">
      <alignment horizontal="center" vertical="center" wrapText="1"/>
    </xf>
    <xf numFmtId="0" fontId="88" fillId="0" borderId="1" xfId="0" applyFont="1" applyFill="1" applyBorder="1" applyAlignment="1">
      <alignment horizontal="left" vertical="center" wrapText="1"/>
    </xf>
    <xf numFmtId="4" fontId="105" fillId="0" borderId="6" xfId="0" applyNumberFormat="1" applyFont="1" applyFill="1" applyBorder="1" applyAlignment="1">
      <alignment horizontal="right" vertical="center" wrapText="1"/>
    </xf>
    <xf numFmtId="4" fontId="105" fillId="0" borderId="6" xfId="11" applyNumberFormat="1" applyFont="1" applyFill="1" applyBorder="1" applyAlignment="1">
      <alignment horizontal="right" vertical="center"/>
    </xf>
    <xf numFmtId="0" fontId="84" fillId="0" borderId="0" xfId="4" applyFont="1" applyBorder="1" applyAlignment="1">
      <alignment horizontal="left"/>
    </xf>
    <xf numFmtId="49" fontId="88" fillId="0" borderId="4" xfId="0" applyNumberFormat="1" applyFont="1" applyFill="1" applyBorder="1" applyAlignment="1">
      <alignment horizontal="center" vertical="top"/>
    </xf>
    <xf numFmtId="4" fontId="105" fillId="0" borderId="1" xfId="0" applyNumberFormat="1" applyFont="1" applyFill="1" applyBorder="1" applyAlignment="1">
      <alignment horizontal="center" vertical="center" wrapText="1"/>
    </xf>
    <xf numFmtId="4" fontId="105" fillId="0" borderId="1" xfId="11" applyNumberFormat="1" applyFont="1" applyFill="1" applyBorder="1" applyAlignment="1">
      <alignment horizontal="right" vertical="center"/>
    </xf>
    <xf numFmtId="4" fontId="101" fillId="0" borderId="1" xfId="0" applyNumberFormat="1" applyFont="1" applyFill="1" applyBorder="1" applyAlignment="1">
      <alignment horizontal="right" vertical="center" wrapText="1"/>
    </xf>
    <xf numFmtId="0" fontId="62" fillId="13" borderId="0" xfId="0" applyFont="1" applyFill="1" applyBorder="1" applyAlignment="1">
      <alignment horizontal="center" vertical="center" wrapText="1"/>
    </xf>
    <xf numFmtId="0" fontId="21" fillId="0" borderId="1" xfId="4" applyFont="1" applyBorder="1" applyAlignment="1">
      <alignment horizontal="center" vertical="center" wrapText="1"/>
    </xf>
    <xf numFmtId="0" fontId="10" fillId="0" borderId="0" xfId="4" applyFont="1" applyAlignment="1">
      <alignment horizontal="center"/>
    </xf>
    <xf numFmtId="0" fontId="21" fillId="0" borderId="1" xfId="4" applyFont="1" applyBorder="1" applyAlignment="1">
      <alignment horizontal="center" vertical="center"/>
    </xf>
    <xf numFmtId="0" fontId="8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4" fillId="0" borderId="4" xfId="0" applyFont="1" applyBorder="1" applyAlignment="1">
      <alignment horizontal="center" vertical="center" wrapText="1"/>
    </xf>
    <xf numFmtId="0" fontId="84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4" fillId="0" borderId="6" xfId="0" applyFont="1" applyBorder="1" applyAlignment="1">
      <alignment horizontal="center" vertical="center" wrapText="1"/>
    </xf>
    <xf numFmtId="0" fontId="84" fillId="3" borderId="1" xfId="0" applyFont="1" applyFill="1" applyBorder="1" applyAlignment="1">
      <alignment horizontal="center" vertical="center" wrapText="1"/>
    </xf>
    <xf numFmtId="0" fontId="86" fillId="0" borderId="2" xfId="0" applyFont="1" applyBorder="1" applyAlignment="1">
      <alignment horizontal="center" wrapText="1"/>
    </xf>
    <xf numFmtId="0" fontId="86" fillId="0" borderId="3" xfId="0" applyFont="1" applyBorder="1" applyAlignment="1">
      <alignment horizontal="center" wrapText="1"/>
    </xf>
    <xf numFmtId="0" fontId="84" fillId="9" borderId="1" xfId="0" applyFont="1" applyFill="1" applyBorder="1" applyAlignment="1">
      <alignment horizontal="center" vertical="center" wrapText="1"/>
    </xf>
    <xf numFmtId="0" fontId="84" fillId="0" borderId="4" xfId="0" applyFont="1" applyFill="1" applyBorder="1" applyAlignment="1">
      <alignment horizontal="center" vertical="center" wrapText="1"/>
    </xf>
    <xf numFmtId="0" fontId="84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3" fillId="0" borderId="0" xfId="0" applyFont="1" applyAlignment="1">
      <alignment horizontal="center" wrapText="1"/>
    </xf>
    <xf numFmtId="0" fontId="123" fillId="0" borderId="0" xfId="0" applyFont="1" applyFill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4" fillId="9" borderId="4" xfId="0" applyFont="1" applyFill="1" applyBorder="1" applyAlignment="1">
      <alignment horizontal="center" vertical="center" wrapText="1"/>
    </xf>
    <xf numFmtId="0" fontId="84" fillId="9" borderId="6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top" wrapText="1"/>
    </xf>
    <xf numFmtId="0" fontId="25" fillId="0" borderId="6" xfId="0" applyFont="1" applyBorder="1" applyAlignment="1">
      <alignment horizontal="center" vertical="top" wrapText="1"/>
    </xf>
    <xf numFmtId="0" fontId="34" fillId="0" borderId="4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85" fillId="0" borderId="0" xfId="0" applyFont="1" applyFill="1" applyBorder="1" applyAlignment="1">
      <alignment horizontal="center" vertical="center" wrapText="1"/>
    </xf>
    <xf numFmtId="0" fontId="85" fillId="0" borderId="12" xfId="0" applyFont="1" applyFill="1" applyBorder="1" applyAlignment="1">
      <alignment horizontal="center" vertical="center" wrapText="1"/>
    </xf>
    <xf numFmtId="0" fontId="110" fillId="0" borderId="1" xfId="0" applyFont="1" applyFill="1" applyBorder="1" applyAlignment="1">
      <alignment horizontal="center" vertical="center"/>
    </xf>
    <xf numFmtId="0" fontId="125" fillId="0" borderId="1" xfId="0" applyFont="1" applyFill="1" applyBorder="1" applyAlignment="1">
      <alignment horizontal="center" vertical="center" wrapText="1"/>
    </xf>
    <xf numFmtId="0" fontId="106" fillId="0" borderId="1" xfId="0" applyFont="1" applyFill="1" applyBorder="1" applyAlignment="1">
      <alignment horizontal="center" vertical="center" wrapText="1"/>
    </xf>
    <xf numFmtId="0" fontId="111" fillId="0" borderId="1" xfId="0" applyFont="1" applyFill="1" applyBorder="1" applyAlignment="1">
      <alignment horizontal="center" vertical="center" wrapText="1"/>
    </xf>
    <xf numFmtId="49" fontId="85" fillId="0" borderId="4" xfId="0" applyNumberFormat="1" applyFont="1" applyFill="1" applyBorder="1" applyAlignment="1">
      <alignment horizontal="center" vertical="center" wrapText="1"/>
    </xf>
    <xf numFmtId="49" fontId="85" fillId="0" borderId="8" xfId="0" applyNumberFormat="1" applyFont="1" applyFill="1" applyBorder="1" applyAlignment="1">
      <alignment horizontal="center" vertical="center" wrapText="1"/>
    </xf>
    <xf numFmtId="49" fontId="85" fillId="0" borderId="6" xfId="0" applyNumberFormat="1" applyFont="1" applyFill="1" applyBorder="1" applyAlignment="1">
      <alignment horizontal="center" vertical="center" wrapText="1"/>
    </xf>
    <xf numFmtId="0" fontId="85" fillId="0" borderId="4" xfId="0" applyFont="1" applyFill="1" applyBorder="1" applyAlignment="1">
      <alignment horizontal="center" vertical="center" wrapText="1"/>
    </xf>
    <xf numFmtId="0" fontId="85" fillId="0" borderId="8" xfId="0" applyFont="1" applyFill="1" applyBorder="1" applyAlignment="1">
      <alignment horizontal="center" vertical="center" wrapText="1"/>
    </xf>
    <xf numFmtId="0" fontId="85" fillId="0" borderId="6" xfId="0" applyFont="1" applyFill="1" applyBorder="1" applyAlignment="1">
      <alignment horizontal="center" vertical="center" wrapText="1"/>
    </xf>
    <xf numFmtId="0" fontId="84" fillId="0" borderId="0" xfId="0" applyFont="1" applyAlignment="1">
      <alignment horizontal="left"/>
    </xf>
    <xf numFmtId="0" fontId="84" fillId="3" borderId="0" xfId="0" applyFont="1" applyFill="1" applyAlignment="1">
      <alignment horizontal="left"/>
    </xf>
    <xf numFmtId="0" fontId="110" fillId="0" borderId="1" xfId="0" applyFont="1" applyFill="1" applyBorder="1" applyAlignment="1">
      <alignment horizontal="center" vertical="center" wrapText="1"/>
    </xf>
    <xf numFmtId="0" fontId="110" fillId="0" borderId="10" xfId="0" applyFont="1" applyFill="1" applyBorder="1" applyAlignment="1">
      <alignment horizontal="center" vertical="center"/>
    </xf>
    <xf numFmtId="0" fontId="107" fillId="0" borderId="0" xfId="0" applyFont="1" applyFill="1" applyAlignment="1">
      <alignment horizontal="center" wrapText="1"/>
    </xf>
    <xf numFmtId="0" fontId="86" fillId="0" borderId="4" xfId="0" applyFont="1" applyBorder="1" applyAlignment="1">
      <alignment horizontal="center" wrapText="1"/>
    </xf>
    <xf numFmtId="0" fontId="86" fillId="0" borderId="8" xfId="0" applyFont="1" applyBorder="1" applyAlignment="1">
      <alignment horizontal="center" wrapText="1"/>
    </xf>
    <xf numFmtId="0" fontId="86" fillId="0" borderId="16" xfId="0" applyFont="1" applyBorder="1" applyAlignment="1">
      <alignment horizontal="center" wrapText="1"/>
    </xf>
    <xf numFmtId="0" fontId="84" fillId="0" borderId="1" xfId="0" applyFont="1" applyBorder="1" applyAlignment="1">
      <alignment horizontal="center" vertical="top" wrapText="1"/>
    </xf>
    <xf numFmtId="0" fontId="84" fillId="0" borderId="1" xfId="0" applyFont="1" applyFill="1" applyBorder="1" applyAlignment="1">
      <alignment horizontal="center" vertical="top" wrapText="1"/>
    </xf>
    <xf numFmtId="0" fontId="84" fillId="0" borderId="2" xfId="0" applyFont="1" applyBorder="1" applyAlignment="1">
      <alignment horizontal="center" vertical="center" wrapText="1"/>
    </xf>
    <xf numFmtId="0" fontId="84" fillId="0" borderId="10" xfId="0" applyFont="1" applyBorder="1" applyAlignment="1">
      <alignment horizontal="center" vertical="center" wrapText="1"/>
    </xf>
    <xf numFmtId="0" fontId="84" fillId="0" borderId="3" xfId="0" applyFont="1" applyBorder="1" applyAlignment="1">
      <alignment horizontal="center" vertical="center" wrapText="1"/>
    </xf>
    <xf numFmtId="0" fontId="84" fillId="0" borderId="4" xfId="0" applyFont="1" applyBorder="1" applyAlignment="1">
      <alignment horizontal="center" vertical="top" wrapText="1"/>
    </xf>
    <xf numFmtId="0" fontId="84" fillId="0" borderId="8" xfId="0" applyFont="1" applyBorder="1" applyAlignment="1">
      <alignment horizontal="center" vertical="top" wrapText="1"/>
    </xf>
    <xf numFmtId="0" fontId="84" fillId="0" borderId="6" xfId="0" applyFont="1" applyBorder="1" applyAlignment="1">
      <alignment horizontal="center" vertical="top" wrapText="1"/>
    </xf>
    <xf numFmtId="0" fontId="86" fillId="0" borderId="1" xfId="0" applyFont="1" applyBorder="1" applyAlignment="1">
      <alignment horizontal="left" vertical="center" wrapText="1"/>
    </xf>
    <xf numFmtId="0" fontId="84" fillId="0" borderId="5" xfId="0" applyFont="1" applyBorder="1" applyAlignment="1">
      <alignment horizontal="center" vertical="center" wrapText="1"/>
    </xf>
    <xf numFmtId="0" fontId="85" fillId="0" borderId="1" xfId="0" applyFont="1" applyBorder="1" applyAlignment="1">
      <alignment horizontal="center" vertical="top" wrapText="1"/>
    </xf>
    <xf numFmtId="0" fontId="84" fillId="0" borderId="1" xfId="0" applyFont="1" applyBorder="1" applyAlignment="1">
      <alignment horizontal="left" vertical="top" wrapText="1"/>
    </xf>
    <xf numFmtId="0" fontId="84" fillId="10" borderId="1" xfId="0" applyFont="1" applyFill="1" applyBorder="1" applyAlignment="1">
      <alignment horizontal="center" vertical="top" wrapText="1"/>
    </xf>
    <xf numFmtId="0" fontId="85" fillId="0" borderId="2" xfId="0" applyFont="1" applyBorder="1" applyAlignment="1">
      <alignment horizontal="center" vertical="top" wrapText="1"/>
    </xf>
    <xf numFmtId="0" fontId="85" fillId="0" borderId="10" xfId="0" applyFont="1" applyBorder="1" applyAlignment="1">
      <alignment horizontal="center" vertical="top" wrapText="1"/>
    </xf>
    <xf numFmtId="0" fontId="85" fillId="0" borderId="3" xfId="0" applyFont="1" applyBorder="1" applyAlignment="1">
      <alignment horizontal="center" vertical="top" wrapText="1"/>
    </xf>
    <xf numFmtId="0" fontId="84" fillId="0" borderId="4" xfId="0" applyFont="1" applyBorder="1" applyAlignment="1">
      <alignment horizontal="center" wrapText="1"/>
    </xf>
    <xf numFmtId="0" fontId="84" fillId="0" borderId="8" xfId="0" applyFont="1" applyBorder="1" applyAlignment="1">
      <alignment horizontal="center" wrapText="1"/>
    </xf>
    <xf numFmtId="0" fontId="84" fillId="0" borderId="6" xfId="0" applyFont="1" applyBorder="1" applyAlignment="1">
      <alignment horizontal="center" wrapText="1"/>
    </xf>
    <xf numFmtId="3" fontId="84" fillId="0" borderId="1" xfId="0" applyNumberFormat="1" applyFont="1" applyFill="1" applyBorder="1" applyAlignment="1">
      <alignment horizontal="center" vertical="top" wrapText="1"/>
    </xf>
    <xf numFmtId="0" fontId="84" fillId="0" borderId="2" xfId="0" applyFont="1" applyFill="1" applyBorder="1" applyAlignment="1">
      <alignment horizontal="left" vertical="top" wrapText="1"/>
    </xf>
    <xf numFmtId="0" fontId="84" fillId="0" borderId="10" xfId="0" applyFont="1" applyFill="1" applyBorder="1" applyAlignment="1">
      <alignment horizontal="left" vertical="top" wrapText="1"/>
    </xf>
    <xf numFmtId="0" fontId="84" fillId="0" borderId="3" xfId="0" applyFont="1" applyFill="1" applyBorder="1" applyAlignment="1">
      <alignment horizontal="left" vertical="top" wrapText="1"/>
    </xf>
    <xf numFmtId="0" fontId="84" fillId="0" borderId="1" xfId="0" applyFont="1" applyFill="1" applyBorder="1" applyAlignment="1">
      <alignment horizontal="center" vertical="top" wrapText="1" shrinkToFit="1"/>
    </xf>
    <xf numFmtId="0" fontId="84" fillId="0" borderId="4" xfId="0" applyFont="1" applyFill="1" applyBorder="1" applyAlignment="1">
      <alignment horizontal="center" vertical="top" wrapText="1"/>
    </xf>
    <xf numFmtId="0" fontId="84" fillId="0" borderId="6" xfId="0" applyFont="1" applyFill="1" applyBorder="1" applyAlignment="1">
      <alignment horizontal="center" vertical="top" wrapText="1"/>
    </xf>
    <xf numFmtId="0" fontId="84" fillId="0" borderId="2" xfId="0" applyFont="1" applyBorder="1" applyAlignment="1">
      <alignment horizontal="left" vertical="top" wrapText="1"/>
    </xf>
    <xf numFmtId="0" fontId="84" fillId="0" borderId="10" xfId="0" applyFont="1" applyBorder="1" applyAlignment="1">
      <alignment horizontal="left" vertical="top" wrapText="1"/>
    </xf>
    <xf numFmtId="0" fontId="84" fillId="0" borderId="3" xfId="0" applyFont="1" applyBorder="1" applyAlignment="1">
      <alignment horizontal="left" vertical="top" wrapText="1"/>
    </xf>
    <xf numFmtId="0" fontId="84" fillId="0" borderId="6" xfId="0" applyFont="1" applyFill="1" applyBorder="1" applyAlignment="1">
      <alignment horizontal="center" vertical="center" wrapText="1"/>
    </xf>
    <xf numFmtId="0" fontId="86" fillId="0" borderId="2" xfId="0" applyFont="1" applyFill="1" applyBorder="1" applyAlignment="1">
      <alignment horizontal="center"/>
    </xf>
    <xf numFmtId="0" fontId="86" fillId="0" borderId="3" xfId="0" applyFont="1" applyFill="1" applyBorder="1" applyAlignment="1">
      <alignment horizontal="center"/>
    </xf>
    <xf numFmtId="0" fontId="84" fillId="0" borderId="1" xfId="0" applyFont="1" applyFill="1" applyBorder="1" applyAlignment="1">
      <alignment horizontal="center" vertical="center"/>
    </xf>
    <xf numFmtId="0" fontId="84" fillId="0" borderId="1" xfId="0" applyFont="1" applyBorder="1" applyAlignment="1">
      <alignment horizontal="center" vertical="center"/>
    </xf>
    <xf numFmtId="0" fontId="84" fillId="0" borderId="8" xfId="0" applyFont="1" applyBorder="1" applyAlignment="1">
      <alignment horizontal="center" vertical="center"/>
    </xf>
    <xf numFmtId="0" fontId="86" fillId="0" borderId="0" xfId="0" applyFont="1" applyFill="1" applyAlignment="1">
      <alignment horizontal="center" wrapText="1"/>
    </xf>
    <xf numFmtId="0" fontId="86" fillId="0" borderId="0" xfId="0" applyFont="1" applyAlignment="1">
      <alignment horizontal="center" wrapText="1"/>
    </xf>
    <xf numFmtId="0" fontId="84" fillId="0" borderId="1" xfId="0" applyFont="1" applyFill="1" applyBorder="1"/>
    <xf numFmtId="0" fontId="128" fillId="0" borderId="1" xfId="0" applyFont="1" applyFill="1" applyBorder="1"/>
    <xf numFmtId="0" fontId="128" fillId="0" borderId="1" xfId="0" applyFont="1" applyBorder="1"/>
    <xf numFmtId="0" fontId="128" fillId="0" borderId="8" xfId="0" applyFont="1" applyBorder="1"/>
    <xf numFmtId="0" fontId="84" fillId="0" borderId="1" xfId="0" applyFont="1" applyBorder="1"/>
    <xf numFmtId="0" fontId="88" fillId="0" borderId="4" xfId="0" applyFont="1" applyFill="1" applyBorder="1" applyAlignment="1">
      <alignment horizontal="center" vertical="top" wrapText="1" shrinkToFit="1"/>
    </xf>
    <xf numFmtId="0" fontId="88" fillId="0" borderId="8" xfId="0" applyFont="1" applyFill="1" applyBorder="1" applyAlignment="1">
      <alignment horizontal="center" vertical="top" wrapText="1" shrinkToFit="1"/>
    </xf>
    <xf numFmtId="0" fontId="88" fillId="0" borderId="6" xfId="0" applyFont="1" applyFill="1" applyBorder="1" applyAlignment="1">
      <alignment horizontal="center" vertical="top" wrapText="1" shrinkToFit="1"/>
    </xf>
    <xf numFmtId="0" fontId="86" fillId="0" borderId="4" xfId="0" applyFont="1" applyBorder="1" applyAlignment="1">
      <alignment horizontal="center" vertical="center" wrapText="1"/>
    </xf>
    <xf numFmtId="0" fontId="86" fillId="0" borderId="8" xfId="0" applyFont="1" applyBorder="1" applyAlignment="1">
      <alignment horizontal="center" vertical="center" wrapText="1"/>
    </xf>
    <xf numFmtId="0" fontId="86" fillId="0" borderId="6" xfId="0" applyFont="1" applyBorder="1" applyAlignment="1">
      <alignment horizontal="center" vertical="center" wrapText="1"/>
    </xf>
    <xf numFmtId="0" fontId="88" fillId="0" borderId="4" xfId="0" applyFont="1" applyFill="1" applyBorder="1" applyAlignment="1">
      <alignment horizontal="left" vertical="top" wrapText="1"/>
    </xf>
    <xf numFmtId="0" fontId="88" fillId="0" borderId="8" xfId="0" applyFont="1" applyFill="1" applyBorder="1" applyAlignment="1">
      <alignment horizontal="left" vertical="top" wrapText="1"/>
    </xf>
    <xf numFmtId="0" fontId="88" fillId="0" borderId="6" xfId="0" applyFont="1" applyFill="1" applyBorder="1" applyAlignment="1">
      <alignment horizontal="left" vertical="top" wrapText="1"/>
    </xf>
    <xf numFmtId="49" fontId="88" fillId="0" borderId="4" xfId="0" applyNumberFormat="1" applyFont="1" applyFill="1" applyBorder="1" applyAlignment="1">
      <alignment horizontal="center" vertical="top" wrapText="1" shrinkToFit="1"/>
    </xf>
    <xf numFmtId="49" fontId="88" fillId="0" borderId="8" xfId="0" applyNumberFormat="1" applyFont="1" applyFill="1" applyBorder="1" applyAlignment="1">
      <alignment horizontal="center" vertical="top" wrapText="1" shrinkToFit="1"/>
    </xf>
    <xf numFmtId="49" fontId="88" fillId="0" borderId="6" xfId="0" applyNumberFormat="1" applyFont="1" applyFill="1" applyBorder="1" applyAlignment="1">
      <alignment horizontal="center" vertical="top" wrapText="1" shrinkToFit="1"/>
    </xf>
    <xf numFmtId="0" fontId="88" fillId="0" borderId="4" xfId="0" applyFont="1" applyFill="1" applyBorder="1" applyAlignment="1">
      <alignment horizontal="left" vertical="top" wrapText="1" shrinkToFit="1"/>
    </xf>
    <xf numFmtId="0" fontId="88" fillId="0" borderId="8" xfId="0" applyFont="1" applyFill="1" applyBorder="1" applyAlignment="1">
      <alignment horizontal="left" vertical="top" wrapText="1" shrinkToFit="1"/>
    </xf>
    <xf numFmtId="49" fontId="88" fillId="0" borderId="4" xfId="0" applyNumberFormat="1" applyFont="1" applyFill="1" applyBorder="1" applyAlignment="1">
      <alignment horizontal="center" vertical="top"/>
    </xf>
    <xf numFmtId="49" fontId="88" fillId="0" borderId="8" xfId="0" applyNumberFormat="1" applyFont="1" applyFill="1" applyBorder="1" applyAlignment="1">
      <alignment horizontal="center" vertical="top"/>
    </xf>
    <xf numFmtId="49" fontId="88" fillId="0" borderId="6" xfId="0" applyNumberFormat="1" applyFont="1" applyFill="1" applyBorder="1" applyAlignment="1">
      <alignment horizontal="center" vertical="top"/>
    </xf>
    <xf numFmtId="0" fontId="84" fillId="0" borderId="0" xfId="0" applyFont="1" applyAlignment="1"/>
    <xf numFmtId="0" fontId="102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0" fontId="88" fillId="0" borderId="1" xfId="0" applyFont="1" applyFill="1" applyBorder="1" applyAlignment="1">
      <alignment horizontal="center" vertical="top"/>
    </xf>
    <xf numFmtId="0" fontId="88" fillId="0" borderId="4" xfId="0" applyFont="1" applyFill="1" applyBorder="1" applyAlignment="1">
      <alignment horizontal="center" vertical="top"/>
    </xf>
    <xf numFmtId="0" fontId="88" fillId="0" borderId="8" xfId="0" applyFont="1" applyFill="1" applyBorder="1" applyAlignment="1">
      <alignment horizontal="center" vertical="top"/>
    </xf>
    <xf numFmtId="0" fontId="88" fillId="0" borderId="6" xfId="0" applyFont="1" applyFill="1" applyBorder="1" applyAlignment="1">
      <alignment horizontal="left" vertical="top" wrapText="1" shrinkToFit="1"/>
    </xf>
    <xf numFmtId="0" fontId="88" fillId="0" borderId="4" xfId="0" applyFont="1" applyFill="1" applyBorder="1" applyAlignment="1">
      <alignment horizontal="center" vertical="top" wrapText="1"/>
    </xf>
    <xf numFmtId="0" fontId="88" fillId="0" borderId="8" xfId="0" applyFont="1" applyFill="1" applyBorder="1" applyAlignment="1">
      <alignment horizontal="center" vertical="top" wrapText="1"/>
    </xf>
    <xf numFmtId="0" fontId="105" fillId="0" borderId="4" xfId="0" applyFont="1" applyFill="1" applyBorder="1" applyAlignment="1">
      <alignment horizontal="left" vertical="top" wrapText="1" shrinkToFit="1"/>
    </xf>
    <xf numFmtId="0" fontId="105" fillId="0" borderId="8" xfId="0" applyFont="1" applyFill="1" applyBorder="1" applyAlignment="1">
      <alignment horizontal="left" vertical="top" wrapText="1" shrinkToFit="1"/>
    </xf>
    <xf numFmtId="0" fontId="105" fillId="0" borderId="6" xfId="0" applyFont="1" applyFill="1" applyBorder="1" applyAlignment="1">
      <alignment horizontal="left" vertical="top" wrapText="1" shrinkToFit="1"/>
    </xf>
    <xf numFmtId="0" fontId="88" fillId="0" borderId="6" xfId="0" applyFont="1" applyFill="1" applyBorder="1" applyAlignment="1">
      <alignment horizontal="center" vertical="top"/>
    </xf>
    <xf numFmtId="0" fontId="105" fillId="9" borderId="4" xfId="0" applyFont="1" applyFill="1" applyBorder="1" applyAlignment="1">
      <alignment horizontal="left" vertical="top" wrapText="1" shrinkToFit="1"/>
    </xf>
    <xf numFmtId="0" fontId="105" fillId="9" borderId="8" xfId="0" applyFont="1" applyFill="1" applyBorder="1" applyAlignment="1">
      <alignment horizontal="left" vertical="top" wrapText="1" shrinkToFit="1"/>
    </xf>
    <xf numFmtId="49" fontId="15" fillId="0" borderId="4" xfId="0" applyNumberFormat="1" applyFont="1" applyFill="1" applyBorder="1" applyAlignment="1">
      <alignment horizontal="center" vertical="top"/>
    </xf>
    <xf numFmtId="49" fontId="15" fillId="0" borderId="6" xfId="0" applyNumberFormat="1" applyFont="1" applyFill="1" applyBorder="1" applyAlignment="1">
      <alignment horizontal="center" vertical="top"/>
    </xf>
    <xf numFmtId="0" fontId="15" fillId="0" borderId="4" xfId="0" applyFont="1" applyFill="1" applyBorder="1" applyAlignment="1">
      <alignment horizontal="left" vertical="top" wrapText="1" shrinkToFit="1"/>
    </xf>
    <xf numFmtId="0" fontId="15" fillId="0" borderId="6" xfId="0" applyFont="1" applyFill="1" applyBorder="1" applyAlignment="1">
      <alignment horizontal="left" vertical="top" wrapText="1" shrinkToFit="1"/>
    </xf>
    <xf numFmtId="49" fontId="22" fillId="0" borderId="4" xfId="0" applyNumberFormat="1" applyFont="1" applyFill="1" applyBorder="1" applyAlignment="1">
      <alignment horizontal="center" vertical="top"/>
    </xf>
    <xf numFmtId="49" fontId="22" fillId="0" borderId="6" xfId="0" applyNumberFormat="1" applyFont="1" applyFill="1" applyBorder="1" applyAlignment="1">
      <alignment horizontal="center" vertical="top"/>
    </xf>
    <xf numFmtId="0" fontId="22" fillId="0" borderId="4" xfId="0" applyFont="1" applyFill="1" applyBorder="1" applyAlignment="1">
      <alignment horizontal="center" vertical="top" wrapText="1" shrinkToFit="1"/>
    </xf>
    <xf numFmtId="0" fontId="22" fillId="0" borderId="6" xfId="0" applyFont="1" applyFill="1" applyBorder="1" applyAlignment="1">
      <alignment horizontal="center" vertical="top" wrapText="1" shrinkToFit="1"/>
    </xf>
    <xf numFmtId="49" fontId="22" fillId="0" borderId="8" xfId="0" applyNumberFormat="1" applyFont="1" applyFill="1" applyBorder="1" applyAlignment="1">
      <alignment horizontal="center" vertical="top"/>
    </xf>
    <xf numFmtId="0" fontId="22" fillId="0" borderId="4" xfId="0" applyFont="1" applyFill="1" applyBorder="1" applyAlignment="1">
      <alignment horizontal="left" vertical="top" wrapText="1" shrinkToFit="1"/>
    </xf>
    <xf numFmtId="0" fontId="22" fillId="0" borderId="8" xfId="0" applyFont="1" applyFill="1" applyBorder="1" applyAlignment="1">
      <alignment horizontal="left" vertical="top" wrapText="1" shrinkToFit="1"/>
    </xf>
    <xf numFmtId="0" fontId="22" fillId="0" borderId="6" xfId="0" applyFont="1" applyFill="1" applyBorder="1" applyAlignment="1">
      <alignment horizontal="left" vertical="top" wrapText="1" shrinkToFit="1"/>
    </xf>
    <xf numFmtId="0" fontId="15" fillId="0" borderId="4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left" vertical="top" wrapText="1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8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91" fillId="0" borderId="0" xfId="0" applyFont="1" applyFill="1" applyAlignment="1">
      <alignment horizontal="center"/>
    </xf>
    <xf numFmtId="49" fontId="15" fillId="0" borderId="8" xfId="0" applyNumberFormat="1" applyFont="1" applyFill="1" applyBorder="1" applyAlignment="1">
      <alignment horizontal="center" vertical="top"/>
    </xf>
    <xf numFmtId="0" fontId="15" fillId="0" borderId="8" xfId="0" applyFont="1" applyFill="1" applyBorder="1" applyAlignment="1">
      <alignment horizontal="left" vertical="top" wrapText="1" shrinkToFit="1"/>
    </xf>
    <xf numFmtId="3" fontId="15" fillId="0" borderId="4" xfId="0" applyNumberFormat="1" applyFont="1" applyFill="1" applyBorder="1" applyAlignment="1">
      <alignment horizontal="center" vertical="top" wrapText="1"/>
    </xf>
    <xf numFmtId="3" fontId="15" fillId="0" borderId="8" xfId="0" applyNumberFormat="1" applyFont="1" applyFill="1" applyBorder="1" applyAlignment="1">
      <alignment horizontal="center" vertical="top" wrapText="1"/>
    </xf>
    <xf numFmtId="3" fontId="15" fillId="0" borderId="6" xfId="0" applyNumberFormat="1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 shrinkToFit="1"/>
    </xf>
    <xf numFmtId="0" fontId="15" fillId="0" borderId="8" xfId="0" applyFont="1" applyFill="1" applyBorder="1" applyAlignment="1">
      <alignment horizontal="center" vertical="top" wrapText="1" shrinkToFit="1"/>
    </xf>
    <xf numFmtId="0" fontId="15" fillId="0" borderId="6" xfId="0" applyFont="1" applyFill="1" applyBorder="1" applyAlignment="1">
      <alignment horizontal="center" vertical="top" wrapText="1" shrinkToFit="1"/>
    </xf>
    <xf numFmtId="0" fontId="32" fillId="0" borderId="0" xfId="0" applyFont="1" applyFill="1" applyAlignment="1">
      <alignment horizontal="center"/>
    </xf>
    <xf numFmtId="0" fontId="13" fillId="2" borderId="0" xfId="0" applyFont="1" applyFill="1" applyAlignment="1">
      <alignment horizontal="center" wrapText="1"/>
    </xf>
    <xf numFmtId="0" fontId="2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13">
    <cellStyle name="Normal_Доходи" xfId="1"/>
    <cellStyle name="Звичайний 2" xfId="2"/>
    <cellStyle name="Обычный" xfId="0" builtinId="0"/>
    <cellStyle name="Обычный 3" xfId="3"/>
    <cellStyle name="Обычный_dodатки_2015_вересень" xfId="4"/>
    <cellStyle name="Обычный_дод_ріш_бт2017" xfId="5"/>
    <cellStyle name="Обычный_Наборка ІІ кошик_2010" xfId="6"/>
    <cellStyle name="Обычный_Сеся15.08.08" xfId="7"/>
    <cellStyle name="Обычный_Сеся15.08.08 2" xfId="8"/>
    <cellStyle name="Стиль 1" xfId="9"/>
    <cellStyle name="Финансовый" xfId="12" builtinId="3"/>
    <cellStyle name="Финансовый 2" xfId="10"/>
    <cellStyle name="Финансовый_Richenai_21.12.2017(260718)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8</xdr:row>
      <xdr:rowOff>28575</xdr:rowOff>
    </xdr:from>
    <xdr:to>
      <xdr:col>4</xdr:col>
      <xdr:colOff>76200</xdr:colOff>
      <xdr:row>8</xdr:row>
      <xdr:rowOff>28575</xdr:rowOff>
    </xdr:to>
    <xdr:sp macro="" textlink="">
      <xdr:nvSpPr>
        <xdr:cNvPr id="837881" name="Line 15"/>
        <xdr:cNvSpPr>
          <a:spLocks noChangeShapeType="1"/>
        </xdr:cNvSpPr>
      </xdr:nvSpPr>
      <xdr:spPr bwMode="auto">
        <a:xfrm>
          <a:off x="4791075" y="20002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53799" name="Line 1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53800" name="Line 2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53801" name="Line 3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53802" name="Line 4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53803" name="Line 5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53804" name="Line 6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53805" name="Line 7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53806" name="Line 8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53807" name="Line 9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53808" name="Line 10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53809" name="Line 11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53810" name="Line 12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53811" name="Line 13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53812" name="Line 14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53813" name="Line 15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53814" name="Line 16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9</xdr:row>
      <xdr:rowOff>28575</xdr:rowOff>
    </xdr:from>
    <xdr:to>
      <xdr:col>4</xdr:col>
      <xdr:colOff>76200</xdr:colOff>
      <xdr:row>9</xdr:row>
      <xdr:rowOff>28575</xdr:rowOff>
    </xdr:to>
    <xdr:sp macro="" textlink="">
      <xdr:nvSpPr>
        <xdr:cNvPr id="853815" name="Line 15"/>
        <xdr:cNvSpPr>
          <a:spLocks noChangeShapeType="1"/>
        </xdr:cNvSpPr>
      </xdr:nvSpPr>
      <xdr:spPr bwMode="auto">
        <a:xfrm>
          <a:off x="6248400" y="34861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9</xdr:row>
      <xdr:rowOff>28575</xdr:rowOff>
    </xdr:from>
    <xdr:to>
      <xdr:col>4</xdr:col>
      <xdr:colOff>76200</xdr:colOff>
      <xdr:row>9</xdr:row>
      <xdr:rowOff>28575</xdr:rowOff>
    </xdr:to>
    <xdr:sp macro="" textlink="">
      <xdr:nvSpPr>
        <xdr:cNvPr id="853816" name="Line 15"/>
        <xdr:cNvSpPr>
          <a:spLocks noChangeShapeType="1"/>
        </xdr:cNvSpPr>
      </xdr:nvSpPr>
      <xdr:spPr bwMode="auto">
        <a:xfrm>
          <a:off x="6248400" y="34861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66675</xdr:colOff>
      <xdr:row>9</xdr:row>
      <xdr:rowOff>28575</xdr:rowOff>
    </xdr:from>
    <xdr:to>
      <xdr:col>3</xdr:col>
      <xdr:colOff>76200</xdr:colOff>
      <xdr:row>9</xdr:row>
      <xdr:rowOff>28575</xdr:rowOff>
    </xdr:to>
    <xdr:sp macro="" textlink="">
      <xdr:nvSpPr>
        <xdr:cNvPr id="853817" name="Line 15"/>
        <xdr:cNvSpPr>
          <a:spLocks noChangeShapeType="1"/>
        </xdr:cNvSpPr>
      </xdr:nvSpPr>
      <xdr:spPr bwMode="auto">
        <a:xfrm>
          <a:off x="2962275" y="34861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66675</xdr:colOff>
      <xdr:row>9</xdr:row>
      <xdr:rowOff>28575</xdr:rowOff>
    </xdr:from>
    <xdr:to>
      <xdr:col>3</xdr:col>
      <xdr:colOff>76200</xdr:colOff>
      <xdr:row>9</xdr:row>
      <xdr:rowOff>28575</xdr:rowOff>
    </xdr:to>
    <xdr:sp macro="" textlink="">
      <xdr:nvSpPr>
        <xdr:cNvPr id="853818" name="Line 15"/>
        <xdr:cNvSpPr>
          <a:spLocks noChangeShapeType="1"/>
        </xdr:cNvSpPr>
      </xdr:nvSpPr>
      <xdr:spPr bwMode="auto">
        <a:xfrm>
          <a:off x="2962275" y="34861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66675</xdr:colOff>
      <xdr:row>9</xdr:row>
      <xdr:rowOff>28575</xdr:rowOff>
    </xdr:from>
    <xdr:to>
      <xdr:col>3</xdr:col>
      <xdr:colOff>76200</xdr:colOff>
      <xdr:row>9</xdr:row>
      <xdr:rowOff>28575</xdr:rowOff>
    </xdr:to>
    <xdr:sp macro="" textlink="">
      <xdr:nvSpPr>
        <xdr:cNvPr id="853819" name="Line 15"/>
        <xdr:cNvSpPr>
          <a:spLocks noChangeShapeType="1"/>
        </xdr:cNvSpPr>
      </xdr:nvSpPr>
      <xdr:spPr bwMode="auto">
        <a:xfrm>
          <a:off x="2962275" y="34861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66675</xdr:colOff>
      <xdr:row>9</xdr:row>
      <xdr:rowOff>28575</xdr:rowOff>
    </xdr:from>
    <xdr:to>
      <xdr:col>3</xdr:col>
      <xdr:colOff>76200</xdr:colOff>
      <xdr:row>9</xdr:row>
      <xdr:rowOff>28575</xdr:rowOff>
    </xdr:to>
    <xdr:sp macro="" textlink="">
      <xdr:nvSpPr>
        <xdr:cNvPr id="853820" name="Line 15"/>
        <xdr:cNvSpPr>
          <a:spLocks noChangeShapeType="1"/>
        </xdr:cNvSpPr>
      </xdr:nvSpPr>
      <xdr:spPr bwMode="auto">
        <a:xfrm>
          <a:off x="2962275" y="34861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AW225"/>
  <sheetViews>
    <sheetView showZeros="0" view="pageBreakPreview" zoomScale="60" zoomScaleNormal="75" workbookViewId="0">
      <pane xSplit="2" ySplit="8" topLeftCell="C130" activePane="bottomRight" state="frozen"/>
      <selection pane="topRight" activeCell="C1" sqref="C1"/>
      <selection pane="bottomLeft" activeCell="A10" sqref="A10"/>
      <selection pane="bottomRight" activeCell="A200" sqref="A200:IV225"/>
    </sheetView>
  </sheetViews>
  <sheetFormatPr defaultColWidth="8.7109375" defaultRowHeight="12.75"/>
  <cols>
    <col min="1" max="1" width="10.85546875" style="79" customWidth="1"/>
    <col min="2" max="2" width="69.28515625" style="79" customWidth="1"/>
    <col min="3" max="3" width="18.85546875" style="79" customWidth="1"/>
    <col min="4" max="4" width="18.7109375" style="79" customWidth="1"/>
    <col min="5" max="5" width="17.85546875" style="79" customWidth="1"/>
    <col min="6" max="6" width="16" style="79" customWidth="1"/>
    <col min="7" max="7" width="48.5703125" style="79" hidden="1" customWidth="1"/>
    <col min="8" max="8" width="88.28515625" style="79" hidden="1" customWidth="1"/>
    <col min="9" max="9" width="15.140625" style="79" hidden="1" customWidth="1"/>
    <col min="10" max="12" width="0" style="79" hidden="1" customWidth="1"/>
    <col min="13" max="16384" width="8.7109375" style="79"/>
  </cols>
  <sheetData>
    <row r="1" spans="1:49" ht="20.25" customHeight="1">
      <c r="A1" s="77"/>
      <c r="B1" s="77"/>
      <c r="C1" s="77"/>
      <c r="D1" s="78" t="s">
        <v>96</v>
      </c>
      <c r="F1" s="78"/>
      <c r="G1" s="80">
        <v>1</v>
      </c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</row>
    <row r="2" spans="1:49" ht="18" customHeight="1">
      <c r="A2" s="81"/>
      <c r="B2" s="81"/>
      <c r="C2" s="81"/>
      <c r="D2" s="78" t="s">
        <v>476</v>
      </c>
      <c r="F2" s="78"/>
      <c r="G2" s="80">
        <v>1</v>
      </c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</row>
    <row r="3" spans="1:49" ht="18.75">
      <c r="A3" s="81"/>
      <c r="B3" s="81"/>
      <c r="C3" s="81"/>
      <c r="D3" s="363" t="s">
        <v>3247</v>
      </c>
      <c r="F3" s="78"/>
      <c r="G3" s="80">
        <v>1</v>
      </c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</row>
    <row r="4" spans="1:49" ht="20.25">
      <c r="A4" s="1066" t="s">
        <v>980</v>
      </c>
      <c r="B4" s="1066"/>
      <c r="C4" s="1066"/>
      <c r="D4" s="1066"/>
      <c r="E4" s="1066"/>
      <c r="F4" s="82"/>
      <c r="G4" s="80">
        <v>1</v>
      </c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</row>
    <row r="5" spans="1:49" ht="16.5">
      <c r="A5" s="83" t="s">
        <v>138</v>
      </c>
      <c r="B5" s="84" t="s">
        <v>139</v>
      </c>
      <c r="C5" s="84"/>
      <c r="D5" s="84"/>
      <c r="E5" s="84"/>
      <c r="F5" s="84" t="s">
        <v>383</v>
      </c>
      <c r="G5" s="80">
        <v>1</v>
      </c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</row>
    <row r="6" spans="1:49" ht="14.25" customHeight="1">
      <c r="A6" s="1067" t="s">
        <v>193</v>
      </c>
      <c r="B6" s="1065" t="s">
        <v>140</v>
      </c>
      <c r="C6" s="1065" t="s">
        <v>302</v>
      </c>
      <c r="D6" s="1065" t="s">
        <v>81</v>
      </c>
      <c r="E6" s="1065" t="s">
        <v>82</v>
      </c>
      <c r="F6" s="1065"/>
      <c r="G6" s="80">
        <v>1</v>
      </c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</row>
    <row r="7" spans="1:49" ht="42.6" customHeight="1">
      <c r="A7" s="1067"/>
      <c r="B7" s="1065"/>
      <c r="C7" s="1065"/>
      <c r="D7" s="1065"/>
      <c r="E7" s="85" t="s">
        <v>302</v>
      </c>
      <c r="F7" s="85" t="s">
        <v>141</v>
      </c>
      <c r="G7" s="80">
        <v>1</v>
      </c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</row>
    <row r="8" spans="1:49" ht="13.5" customHeight="1">
      <c r="A8" s="86">
        <v>1</v>
      </c>
      <c r="B8" s="86">
        <v>2</v>
      </c>
      <c r="C8" s="86">
        <v>3</v>
      </c>
      <c r="D8" s="86">
        <v>4</v>
      </c>
      <c r="E8" s="86">
        <v>5</v>
      </c>
      <c r="F8" s="86">
        <v>6</v>
      </c>
      <c r="G8" s="80">
        <v>1</v>
      </c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</row>
    <row r="9" spans="1:49" ht="15.75">
      <c r="A9" s="87">
        <v>10000000</v>
      </c>
      <c r="B9" s="87" t="s">
        <v>109</v>
      </c>
      <c r="C9" s="88">
        <f t="shared" ref="C9:C17" si="0">E9+D9</f>
        <v>946466140</v>
      </c>
      <c r="D9" s="88">
        <f>SUM(D10+D24+D28+D40)</f>
        <v>884316140</v>
      </c>
      <c r="E9" s="88">
        <f>SUM(E10+E24+E28+E40)</f>
        <v>62150000</v>
      </c>
      <c r="F9" s="88">
        <f>SUM(F10+F24+F28+F40)</f>
        <v>0</v>
      </c>
      <c r="G9" s="111">
        <f>SUM(C9:F9)</f>
        <v>1892932280</v>
      </c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</row>
    <row r="10" spans="1:49" ht="31.5">
      <c r="A10" s="87">
        <v>11000000</v>
      </c>
      <c r="B10" s="89" t="s">
        <v>110</v>
      </c>
      <c r="C10" s="88">
        <f t="shared" si="0"/>
        <v>781366140</v>
      </c>
      <c r="D10" s="88">
        <f>SUM(D11+D18)</f>
        <v>781366140</v>
      </c>
      <c r="E10" s="88"/>
      <c r="F10" s="88">
        <v>0</v>
      </c>
      <c r="G10" s="111">
        <f t="shared" ref="G10:G73" si="1">SUM(C10:F10)</f>
        <v>1562732280</v>
      </c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</row>
    <row r="11" spans="1:49" s="94" customFormat="1" ht="20.25" customHeight="1">
      <c r="A11" s="90">
        <v>11010000</v>
      </c>
      <c r="B11" s="91" t="s">
        <v>111</v>
      </c>
      <c r="C11" s="92">
        <f t="shared" si="0"/>
        <v>731584140</v>
      </c>
      <c r="D11" s="92">
        <f>SUM(D12:D17)</f>
        <v>731584140</v>
      </c>
      <c r="E11" s="92">
        <f>SUM(E12:E17)</f>
        <v>0</v>
      </c>
      <c r="F11" s="92">
        <f>SUM(F12:F17)</f>
        <v>0</v>
      </c>
      <c r="G11" s="111">
        <f t="shared" si="1"/>
        <v>1463168280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</row>
    <row r="12" spans="1:49" ht="31.5">
      <c r="A12" s="95">
        <v>11010100</v>
      </c>
      <c r="B12" s="96" t="s">
        <v>69</v>
      </c>
      <c r="C12" s="97">
        <f t="shared" si="0"/>
        <v>618124140</v>
      </c>
      <c r="D12" s="97">
        <v>618124140</v>
      </c>
      <c r="E12" s="88"/>
      <c r="F12" s="88"/>
      <c r="G12" s="111">
        <f t="shared" si="1"/>
        <v>1236248280</v>
      </c>
      <c r="H12" s="111">
        <f>D9+D48</f>
        <v>969761600</v>
      </c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</row>
    <row r="13" spans="1:49" ht="66.75" customHeight="1">
      <c r="A13" s="95">
        <v>11010200</v>
      </c>
      <c r="B13" s="96" t="s">
        <v>423</v>
      </c>
      <c r="C13" s="97">
        <f t="shared" si="0"/>
        <v>70000000</v>
      </c>
      <c r="D13" s="97">
        <v>70000000</v>
      </c>
      <c r="E13" s="88"/>
      <c r="F13" s="88"/>
      <c r="G13" s="111">
        <f t="shared" si="1"/>
        <v>140000000</v>
      </c>
      <c r="H13" s="80">
        <v>880149800</v>
      </c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</row>
    <row r="14" spans="1:49" ht="31.5">
      <c r="A14" s="95">
        <v>11010400</v>
      </c>
      <c r="B14" s="96" t="s">
        <v>424</v>
      </c>
      <c r="C14" s="97">
        <f t="shared" si="0"/>
        <v>36000000</v>
      </c>
      <c r="D14" s="97">
        <v>36000000</v>
      </c>
      <c r="E14" s="88"/>
      <c r="F14" s="88"/>
      <c r="G14" s="111">
        <f t="shared" si="1"/>
        <v>72000000</v>
      </c>
      <c r="H14" s="111">
        <f>H12-H13</f>
        <v>89611800</v>
      </c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</row>
    <row r="15" spans="1:49" ht="31.5">
      <c r="A15" s="95">
        <v>11010500</v>
      </c>
      <c r="B15" s="96" t="s">
        <v>425</v>
      </c>
      <c r="C15" s="97">
        <f t="shared" si="0"/>
        <v>7400000</v>
      </c>
      <c r="D15" s="97">
        <v>7400000</v>
      </c>
      <c r="E15" s="88"/>
      <c r="F15" s="88"/>
      <c r="G15" s="111">
        <f t="shared" si="1"/>
        <v>14800000</v>
      </c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</row>
    <row r="16" spans="1:49" ht="62.25" customHeight="1">
      <c r="A16" s="95">
        <v>11010900</v>
      </c>
      <c r="B16" s="96" t="s">
        <v>242</v>
      </c>
      <c r="C16" s="97">
        <f t="shared" si="0"/>
        <v>60000</v>
      </c>
      <c r="D16" s="97">
        <v>60000</v>
      </c>
      <c r="E16" s="88"/>
      <c r="F16" s="88"/>
      <c r="G16" s="111">
        <f t="shared" si="1"/>
        <v>120000</v>
      </c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</row>
    <row r="17" spans="1:49" ht="31.5" hidden="1">
      <c r="A17" s="95">
        <v>11011600</v>
      </c>
      <c r="B17" s="96" t="s">
        <v>3</v>
      </c>
      <c r="C17" s="97">
        <f t="shared" si="0"/>
        <v>0</v>
      </c>
      <c r="D17" s="97"/>
      <c r="E17" s="88"/>
      <c r="F17" s="88"/>
      <c r="G17" s="111">
        <f t="shared" si="1"/>
        <v>0</v>
      </c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</row>
    <row r="18" spans="1:49" s="94" customFormat="1" ht="18.75" customHeight="1">
      <c r="A18" s="90">
        <v>11020000</v>
      </c>
      <c r="B18" s="98" t="s">
        <v>4</v>
      </c>
      <c r="C18" s="92">
        <f>SUM(C19:C22)</f>
        <v>49782000</v>
      </c>
      <c r="D18" s="92">
        <f>SUM(D19:D22)</f>
        <v>49782000</v>
      </c>
      <c r="E18" s="92">
        <f>SUM(E19:E22)</f>
        <v>0</v>
      </c>
      <c r="F18" s="92">
        <f>SUM(F19:F22)</f>
        <v>0</v>
      </c>
      <c r="G18" s="111">
        <f t="shared" si="1"/>
        <v>99564000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</row>
    <row r="19" spans="1:49" ht="31.5">
      <c r="A19" s="86">
        <v>11020200</v>
      </c>
      <c r="B19" s="99" t="s">
        <v>255</v>
      </c>
      <c r="C19" s="97">
        <f>E19+D19</f>
        <v>4782000</v>
      </c>
      <c r="D19" s="97">
        <v>4782000</v>
      </c>
      <c r="E19" s="97"/>
      <c r="F19" s="97"/>
      <c r="G19" s="111">
        <f t="shared" si="1"/>
        <v>9564000</v>
      </c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</row>
    <row r="20" spans="1:49" ht="15.75">
      <c r="A20" s="86">
        <v>11021000</v>
      </c>
      <c r="B20" s="99" t="s">
        <v>256</v>
      </c>
      <c r="C20" s="97">
        <f>E20+D20</f>
        <v>45000000</v>
      </c>
      <c r="D20" s="97">
        <v>45000000</v>
      </c>
      <c r="E20" s="97"/>
      <c r="F20" s="97"/>
      <c r="G20" s="111">
        <f t="shared" si="1"/>
        <v>90000000</v>
      </c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</row>
    <row r="21" spans="1:49" ht="31.5" hidden="1">
      <c r="A21" s="86">
        <v>11023200</v>
      </c>
      <c r="B21" s="99" t="s">
        <v>257</v>
      </c>
      <c r="C21" s="97">
        <f>E21+D21</f>
        <v>0</v>
      </c>
      <c r="D21" s="97"/>
      <c r="E21" s="97"/>
      <c r="F21" s="97"/>
      <c r="G21" s="111">
        <f t="shared" si="1"/>
        <v>0</v>
      </c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</row>
    <row r="22" spans="1:49" ht="15.75" hidden="1">
      <c r="A22" s="86">
        <v>11024000</v>
      </c>
      <c r="B22" s="99" t="s">
        <v>232</v>
      </c>
      <c r="C22" s="97">
        <f>E22+D22</f>
        <v>0</v>
      </c>
      <c r="D22" s="97"/>
      <c r="E22" s="97"/>
      <c r="F22" s="97"/>
      <c r="G22" s="111">
        <f t="shared" si="1"/>
        <v>0</v>
      </c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</row>
    <row r="23" spans="1:49" ht="15.75" hidden="1">
      <c r="A23" s="86"/>
      <c r="B23" s="99"/>
      <c r="C23" s="97"/>
      <c r="D23" s="97"/>
      <c r="E23" s="97"/>
      <c r="F23" s="97"/>
      <c r="G23" s="111">
        <f t="shared" si="1"/>
        <v>0</v>
      </c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</row>
    <row r="24" spans="1:49" ht="18" hidden="1" customHeight="1">
      <c r="A24" s="87">
        <v>12000000</v>
      </c>
      <c r="B24" s="100" t="s">
        <v>233</v>
      </c>
      <c r="C24" s="88">
        <f t="shared" ref="C24:C30" si="2">E24+D24</f>
        <v>0</v>
      </c>
      <c r="D24" s="88"/>
      <c r="E24" s="88">
        <f>+E25</f>
        <v>0</v>
      </c>
      <c r="F24" s="88">
        <f>+F25</f>
        <v>0</v>
      </c>
      <c r="G24" s="111">
        <f t="shared" si="1"/>
        <v>0</v>
      </c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</row>
    <row r="25" spans="1:49" s="102" customFormat="1" ht="15.75" hidden="1">
      <c r="A25" s="90">
        <v>12030000</v>
      </c>
      <c r="B25" s="98" t="s">
        <v>152</v>
      </c>
      <c r="C25" s="92">
        <f t="shared" si="2"/>
        <v>0</v>
      </c>
      <c r="D25" s="92"/>
      <c r="E25" s="92">
        <f>SUM(E26:E27)</f>
        <v>0</v>
      </c>
      <c r="F25" s="92"/>
      <c r="G25" s="111">
        <f t="shared" si="1"/>
        <v>0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</row>
    <row r="26" spans="1:49" ht="31.5" hidden="1">
      <c r="A26" s="86">
        <v>12030100</v>
      </c>
      <c r="B26" s="96" t="s">
        <v>153</v>
      </c>
      <c r="C26" s="97">
        <f t="shared" si="2"/>
        <v>0</v>
      </c>
      <c r="D26" s="97"/>
      <c r="E26" s="97"/>
      <c r="F26" s="97"/>
      <c r="G26" s="111">
        <f t="shared" si="1"/>
        <v>0</v>
      </c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</row>
    <row r="27" spans="1:49" ht="31.5" hidden="1">
      <c r="A27" s="86">
        <v>12030200</v>
      </c>
      <c r="B27" s="96" t="s">
        <v>154</v>
      </c>
      <c r="C27" s="97">
        <f t="shared" si="2"/>
        <v>0</v>
      </c>
      <c r="D27" s="97"/>
      <c r="E27" s="97"/>
      <c r="F27" s="97"/>
      <c r="G27" s="111">
        <f t="shared" si="1"/>
        <v>0</v>
      </c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</row>
    <row r="28" spans="1:49" ht="31.5">
      <c r="A28" s="87">
        <v>13000000</v>
      </c>
      <c r="B28" s="89" t="s">
        <v>155</v>
      </c>
      <c r="C28" s="88">
        <f t="shared" si="2"/>
        <v>102950000</v>
      </c>
      <c r="D28" s="88">
        <f>+D35+D31+D29+D38</f>
        <v>102950000</v>
      </c>
      <c r="E28" s="88">
        <f>+E35+E31+E29</f>
        <v>0</v>
      </c>
      <c r="F28" s="88">
        <f>+F35+F31+F29</f>
        <v>0</v>
      </c>
      <c r="G28" s="111">
        <f t="shared" si="1"/>
        <v>205900000</v>
      </c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</row>
    <row r="29" spans="1:49" s="102" customFormat="1" ht="15.75">
      <c r="A29" s="90">
        <v>13010000</v>
      </c>
      <c r="B29" s="98" t="s">
        <v>156</v>
      </c>
      <c r="C29" s="92">
        <f t="shared" si="2"/>
        <v>60000000</v>
      </c>
      <c r="D29" s="92">
        <f>D30</f>
        <v>60000000</v>
      </c>
      <c r="E29" s="92">
        <f>E30</f>
        <v>0</v>
      </c>
      <c r="F29" s="92">
        <f>F30</f>
        <v>0</v>
      </c>
      <c r="G29" s="111">
        <f t="shared" si="1"/>
        <v>120000000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</row>
    <row r="30" spans="1:49" ht="31.5">
      <c r="A30" s="86">
        <v>13010100</v>
      </c>
      <c r="B30" s="99" t="s">
        <v>157</v>
      </c>
      <c r="C30" s="97">
        <f t="shared" si="2"/>
        <v>60000000</v>
      </c>
      <c r="D30" s="97">
        <v>60000000</v>
      </c>
      <c r="E30" s="97"/>
      <c r="F30" s="97"/>
      <c r="G30" s="111">
        <f t="shared" si="1"/>
        <v>120000000</v>
      </c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</row>
    <row r="31" spans="1:49" s="102" customFormat="1" ht="15.75">
      <c r="A31" s="90">
        <v>13020000</v>
      </c>
      <c r="B31" s="98" t="s">
        <v>158</v>
      </c>
      <c r="C31" s="92">
        <f>+C32+C33+C34</f>
        <v>8900000</v>
      </c>
      <c r="D31" s="92">
        <f>+D32+D33+D34</f>
        <v>8900000</v>
      </c>
      <c r="E31" s="92">
        <f>+E32+E33+E34</f>
        <v>0</v>
      </c>
      <c r="F31" s="92">
        <f>+F32+F33+F34</f>
        <v>0</v>
      </c>
      <c r="G31" s="111">
        <f t="shared" si="1"/>
        <v>17800000</v>
      </c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</row>
    <row r="32" spans="1:49" ht="33.75" customHeight="1">
      <c r="A32" s="86">
        <v>13020100</v>
      </c>
      <c r="B32" s="99" t="s">
        <v>42</v>
      </c>
      <c r="C32" s="97">
        <f t="shared" ref="C32:C37" si="3">E32+D32</f>
        <v>6970000</v>
      </c>
      <c r="D32" s="97">
        <v>6970000</v>
      </c>
      <c r="E32" s="97"/>
      <c r="F32" s="97"/>
      <c r="G32" s="111">
        <f t="shared" si="1"/>
        <v>13940000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</row>
    <row r="33" spans="1:49" ht="31.5">
      <c r="A33" s="86">
        <v>13020300</v>
      </c>
      <c r="B33" s="99" t="s">
        <v>43</v>
      </c>
      <c r="C33" s="97">
        <f t="shared" si="3"/>
        <v>280000</v>
      </c>
      <c r="D33" s="97">
        <v>280000</v>
      </c>
      <c r="E33" s="97"/>
      <c r="F33" s="97"/>
      <c r="G33" s="111">
        <f t="shared" si="1"/>
        <v>560000</v>
      </c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</row>
    <row r="34" spans="1:49" ht="31.5">
      <c r="A34" s="86">
        <v>13020400</v>
      </c>
      <c r="B34" s="99" t="s">
        <v>463</v>
      </c>
      <c r="C34" s="97">
        <f t="shared" si="3"/>
        <v>1650000</v>
      </c>
      <c r="D34" s="97">
        <v>1650000</v>
      </c>
      <c r="E34" s="97"/>
      <c r="F34" s="97"/>
      <c r="G34" s="111">
        <f t="shared" si="1"/>
        <v>3300000</v>
      </c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</row>
    <row r="35" spans="1:49" s="102" customFormat="1" ht="15.75">
      <c r="A35" s="90">
        <v>13030000</v>
      </c>
      <c r="B35" s="98" t="s">
        <v>414</v>
      </c>
      <c r="C35" s="92">
        <f t="shared" si="3"/>
        <v>34050000</v>
      </c>
      <c r="D35" s="92">
        <f>D36+D37</f>
        <v>34050000</v>
      </c>
      <c r="E35" s="92">
        <f>E36+E37</f>
        <v>0</v>
      </c>
      <c r="F35" s="92">
        <f>F36+F37</f>
        <v>0</v>
      </c>
      <c r="G35" s="111">
        <f t="shared" si="1"/>
        <v>68100000</v>
      </c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</row>
    <row r="36" spans="1:49" ht="31.5">
      <c r="A36" s="86">
        <v>13030100</v>
      </c>
      <c r="B36" s="99" t="s">
        <v>338</v>
      </c>
      <c r="C36" s="97">
        <f t="shared" si="3"/>
        <v>34050000</v>
      </c>
      <c r="D36" s="97">
        <v>34050000</v>
      </c>
      <c r="E36" s="97"/>
      <c r="F36" s="97"/>
      <c r="G36" s="111">
        <f t="shared" si="1"/>
        <v>68100000</v>
      </c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</row>
    <row r="37" spans="1:49" ht="31.5" hidden="1">
      <c r="A37" s="86">
        <v>13030200</v>
      </c>
      <c r="B37" s="96" t="s">
        <v>38</v>
      </c>
      <c r="C37" s="97">
        <f t="shared" si="3"/>
        <v>0</v>
      </c>
      <c r="D37" s="97"/>
      <c r="E37" s="88"/>
      <c r="F37" s="88"/>
      <c r="G37" s="111">
        <f t="shared" si="1"/>
        <v>0</v>
      </c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</row>
    <row r="38" spans="1:49" s="102" customFormat="1" ht="15.75" hidden="1">
      <c r="A38" s="90">
        <v>13070000</v>
      </c>
      <c r="B38" s="98" t="s">
        <v>246</v>
      </c>
      <c r="C38" s="92">
        <f>C39</f>
        <v>0</v>
      </c>
      <c r="D38" s="92">
        <f>D39</f>
        <v>0</v>
      </c>
      <c r="E38" s="92"/>
      <c r="F38" s="92"/>
      <c r="G38" s="111">
        <f t="shared" si="1"/>
        <v>0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</row>
    <row r="39" spans="1:49" ht="15.75" hidden="1">
      <c r="A39" s="86">
        <v>13070100</v>
      </c>
      <c r="B39" s="96" t="s">
        <v>247</v>
      </c>
      <c r="C39" s="97">
        <f>E39+D39</f>
        <v>0</v>
      </c>
      <c r="D39" s="97"/>
      <c r="E39" s="88"/>
      <c r="F39" s="88"/>
      <c r="G39" s="111">
        <f t="shared" si="1"/>
        <v>0</v>
      </c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</row>
    <row r="40" spans="1:49" s="105" customFormat="1" ht="15.75">
      <c r="A40" s="87">
        <v>19000000</v>
      </c>
      <c r="B40" s="103" t="s">
        <v>39</v>
      </c>
      <c r="C40" s="88">
        <f>C41+C46</f>
        <v>62150000</v>
      </c>
      <c r="D40" s="88">
        <f>D41+D46</f>
        <v>0</v>
      </c>
      <c r="E40" s="88">
        <f>E41+E46</f>
        <v>62150000</v>
      </c>
      <c r="F40" s="88">
        <f>F41</f>
        <v>0</v>
      </c>
      <c r="G40" s="111">
        <f t="shared" si="1"/>
        <v>124300000</v>
      </c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</row>
    <row r="41" spans="1:49" s="102" customFormat="1" ht="15.75">
      <c r="A41" s="90">
        <v>19010000</v>
      </c>
      <c r="B41" s="106" t="s">
        <v>40</v>
      </c>
      <c r="C41" s="92">
        <f t="shared" ref="C41:C66" si="4">E41+D41</f>
        <v>5950000</v>
      </c>
      <c r="D41" s="92">
        <f>SUM(D42:D45)</f>
        <v>0</v>
      </c>
      <c r="E41" s="92">
        <f>SUM(E42:E45)</f>
        <v>5950000</v>
      </c>
      <c r="F41" s="92">
        <f>SUM(F42:F45)</f>
        <v>0</v>
      </c>
      <c r="G41" s="111">
        <f t="shared" si="1"/>
        <v>11900000</v>
      </c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</row>
    <row r="42" spans="1:49" ht="30" customHeight="1">
      <c r="A42" s="86">
        <v>19010100</v>
      </c>
      <c r="B42" s="96" t="s">
        <v>41</v>
      </c>
      <c r="C42" s="97">
        <f t="shared" si="4"/>
        <v>3250000</v>
      </c>
      <c r="D42" s="97"/>
      <c r="E42" s="97">
        <v>3250000</v>
      </c>
      <c r="F42" s="88"/>
      <c r="G42" s="111">
        <f t="shared" si="1"/>
        <v>6500000</v>
      </c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</row>
    <row r="43" spans="1:49" ht="31.5">
      <c r="A43" s="86">
        <v>19010200</v>
      </c>
      <c r="B43" s="96" t="s">
        <v>186</v>
      </c>
      <c r="C43" s="97">
        <f t="shared" si="4"/>
        <v>1050000</v>
      </c>
      <c r="D43" s="97"/>
      <c r="E43" s="97">
        <v>1050000</v>
      </c>
      <c r="F43" s="88"/>
      <c r="G43" s="111">
        <f t="shared" si="1"/>
        <v>2100000</v>
      </c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</row>
    <row r="44" spans="1:49" ht="47.25">
      <c r="A44" s="86">
        <v>19010300</v>
      </c>
      <c r="B44" s="96" t="s">
        <v>226</v>
      </c>
      <c r="C44" s="97">
        <f t="shared" si="4"/>
        <v>1650000</v>
      </c>
      <c r="D44" s="97"/>
      <c r="E44" s="97">
        <v>1650000</v>
      </c>
      <c r="F44" s="88"/>
      <c r="G44" s="111">
        <f t="shared" si="1"/>
        <v>3300000</v>
      </c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</row>
    <row r="45" spans="1:49" ht="31.5" hidden="1">
      <c r="A45" s="86">
        <v>19010600</v>
      </c>
      <c r="B45" s="96" t="s">
        <v>227</v>
      </c>
      <c r="C45" s="97">
        <f t="shared" si="4"/>
        <v>0</v>
      </c>
      <c r="D45" s="97"/>
      <c r="E45" s="97"/>
      <c r="F45" s="88"/>
      <c r="G45" s="111">
        <f t="shared" si="1"/>
        <v>0</v>
      </c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</row>
    <row r="46" spans="1:49" ht="47.25">
      <c r="A46" s="90">
        <v>19020000</v>
      </c>
      <c r="B46" s="106" t="s">
        <v>285</v>
      </c>
      <c r="C46" s="92">
        <f>C47</f>
        <v>56200000</v>
      </c>
      <c r="D46" s="92">
        <f>D47</f>
        <v>0</v>
      </c>
      <c r="E46" s="92">
        <f>E47</f>
        <v>56200000</v>
      </c>
      <c r="F46" s="92">
        <f>F47</f>
        <v>0</v>
      </c>
      <c r="G46" s="111">
        <f t="shared" si="1"/>
        <v>112400000</v>
      </c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</row>
    <row r="47" spans="1:49" ht="15.75">
      <c r="A47" s="223">
        <v>19020200</v>
      </c>
      <c r="B47" s="224" t="s">
        <v>286</v>
      </c>
      <c r="C47" s="92">
        <f>E47+D47</f>
        <v>56200000</v>
      </c>
      <c r="D47" s="97"/>
      <c r="E47" s="97">
        <f>19474800+36725200</f>
        <v>56200000</v>
      </c>
      <c r="F47" s="88"/>
      <c r="G47" s="111">
        <f t="shared" si="1"/>
        <v>112400000</v>
      </c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</row>
    <row r="48" spans="1:49" ht="15.75">
      <c r="A48" s="87">
        <v>20000000</v>
      </c>
      <c r="B48" s="107" t="s">
        <v>228</v>
      </c>
      <c r="C48" s="88">
        <f>E48+D48</f>
        <v>244774721</v>
      </c>
      <c r="D48" s="88">
        <f>SUM(D49+D54+D67)+D72</f>
        <v>85445460</v>
      </c>
      <c r="E48" s="88">
        <f>SUM(E49+E54+E67)+E72</f>
        <v>159329261</v>
      </c>
      <c r="F48" s="88">
        <f>SUM(F49+F54+F67)+F72</f>
        <v>0</v>
      </c>
      <c r="G48" s="111">
        <f t="shared" si="1"/>
        <v>489549442</v>
      </c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</row>
    <row r="49" spans="1:49" s="105" customFormat="1" ht="15.75">
      <c r="A49" s="87">
        <v>21000000</v>
      </c>
      <c r="B49" s="107" t="s">
        <v>229</v>
      </c>
      <c r="C49" s="88">
        <f t="shared" si="4"/>
        <v>56053400</v>
      </c>
      <c r="D49" s="88">
        <f>+D50+D53+D52</f>
        <v>55245000</v>
      </c>
      <c r="E49" s="88">
        <f>+E50+E53</f>
        <v>808400</v>
      </c>
      <c r="F49" s="88">
        <f>+F50+F53</f>
        <v>0</v>
      </c>
      <c r="G49" s="111">
        <f t="shared" si="1"/>
        <v>112106800</v>
      </c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</row>
    <row r="50" spans="1:49" s="102" customFormat="1" ht="86.25" customHeight="1">
      <c r="A50" s="90">
        <v>21010000</v>
      </c>
      <c r="B50" s="106" t="s">
        <v>254</v>
      </c>
      <c r="C50" s="92">
        <f t="shared" si="4"/>
        <v>5745000</v>
      </c>
      <c r="D50" s="92">
        <f>D51</f>
        <v>5745000</v>
      </c>
      <c r="E50" s="92"/>
      <c r="F50" s="92"/>
      <c r="G50" s="111">
        <f t="shared" si="1"/>
        <v>11490000</v>
      </c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</row>
    <row r="51" spans="1:49" ht="47.25">
      <c r="A51" s="99">
        <v>21010300</v>
      </c>
      <c r="B51" s="108" t="s">
        <v>230</v>
      </c>
      <c r="C51" s="97">
        <f t="shared" si="4"/>
        <v>5745000</v>
      </c>
      <c r="D51" s="97">
        <v>5745000</v>
      </c>
      <c r="E51" s="88"/>
      <c r="F51" s="88"/>
      <c r="G51" s="111">
        <f t="shared" si="1"/>
        <v>11490000</v>
      </c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</row>
    <row r="52" spans="1:49" ht="31.5">
      <c r="A52" s="90">
        <v>21050000</v>
      </c>
      <c r="B52" s="109" t="s">
        <v>231</v>
      </c>
      <c r="C52" s="88">
        <f t="shared" si="4"/>
        <v>49500000</v>
      </c>
      <c r="D52" s="88">
        <v>49500000</v>
      </c>
      <c r="E52" s="88"/>
      <c r="F52" s="88"/>
      <c r="G52" s="111">
        <f t="shared" si="1"/>
        <v>99000000</v>
      </c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</row>
    <row r="53" spans="1:49" s="102" customFormat="1" ht="30" customHeight="1">
      <c r="A53" s="90">
        <v>21110000</v>
      </c>
      <c r="B53" s="98" t="s">
        <v>304</v>
      </c>
      <c r="C53" s="92">
        <f t="shared" si="4"/>
        <v>808400</v>
      </c>
      <c r="D53" s="92"/>
      <c r="E53" s="92">
        <v>808400</v>
      </c>
      <c r="F53" s="92"/>
      <c r="G53" s="111">
        <f t="shared" si="1"/>
        <v>1616800</v>
      </c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</row>
    <row r="54" spans="1:49" s="105" customFormat="1" ht="29.25" customHeight="1">
      <c r="A54" s="87">
        <v>22000000</v>
      </c>
      <c r="B54" s="89" t="s">
        <v>369</v>
      </c>
      <c r="C54" s="88">
        <f t="shared" si="4"/>
        <v>29580460</v>
      </c>
      <c r="D54" s="88">
        <f>+D63+D65+D55+D66</f>
        <v>29580460</v>
      </c>
      <c r="E54" s="88">
        <f>+E63+E65+E55</f>
        <v>0</v>
      </c>
      <c r="F54" s="88">
        <f>+F63+F65+F55</f>
        <v>0</v>
      </c>
      <c r="G54" s="111">
        <f t="shared" si="1"/>
        <v>59160920</v>
      </c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</row>
    <row r="55" spans="1:49" s="102" customFormat="1" ht="15.75">
      <c r="A55" s="90">
        <v>22010000</v>
      </c>
      <c r="B55" s="98" t="s">
        <v>370</v>
      </c>
      <c r="C55" s="92">
        <f t="shared" si="4"/>
        <v>24816460</v>
      </c>
      <c r="D55" s="92">
        <f>SUM(D56:D62)</f>
        <v>24816460</v>
      </c>
      <c r="E55" s="92">
        <f>SUM(E57:E62)</f>
        <v>0</v>
      </c>
      <c r="F55" s="92">
        <f>SUM(F57:F62)</f>
        <v>0</v>
      </c>
      <c r="G55" s="111">
        <f t="shared" si="1"/>
        <v>49632920</v>
      </c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</row>
    <row r="56" spans="1:49" s="102" customFormat="1" ht="61.5" hidden="1" customHeight="1">
      <c r="A56" s="410">
        <v>22010200</v>
      </c>
      <c r="B56" s="99" t="s">
        <v>471</v>
      </c>
      <c r="C56" s="97">
        <f t="shared" si="4"/>
        <v>0</v>
      </c>
      <c r="D56" s="97"/>
      <c r="E56" s="92"/>
      <c r="F56" s="92"/>
      <c r="G56" s="111">
        <f t="shared" si="1"/>
        <v>0</v>
      </c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</row>
    <row r="57" spans="1:49" ht="36" customHeight="1">
      <c r="A57" s="86">
        <v>22010500</v>
      </c>
      <c r="B57" s="99" t="s">
        <v>472</v>
      </c>
      <c r="C57" s="97">
        <f t="shared" si="4"/>
        <v>3900</v>
      </c>
      <c r="D57" s="97">
        <v>3900</v>
      </c>
      <c r="E57" s="88"/>
      <c r="F57" s="88"/>
      <c r="G57" s="111">
        <f t="shared" si="1"/>
        <v>7800</v>
      </c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</row>
    <row r="58" spans="1:49" ht="29.25" customHeight="1">
      <c r="A58" s="86">
        <v>22010700</v>
      </c>
      <c r="B58" s="99" t="s">
        <v>382</v>
      </c>
      <c r="C58" s="97">
        <f t="shared" si="4"/>
        <v>2340</v>
      </c>
      <c r="D58" s="97">
        <v>2340</v>
      </c>
      <c r="E58" s="97"/>
      <c r="F58" s="97"/>
      <c r="G58" s="111">
        <f t="shared" si="1"/>
        <v>4680</v>
      </c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</row>
    <row r="59" spans="1:49" ht="47.25" hidden="1">
      <c r="A59" s="86">
        <v>22010900</v>
      </c>
      <c r="B59" s="99" t="s">
        <v>390</v>
      </c>
      <c r="C59" s="97">
        <f t="shared" si="4"/>
        <v>0</v>
      </c>
      <c r="D59" s="97"/>
      <c r="E59" s="97"/>
      <c r="F59" s="97"/>
      <c r="G59" s="111">
        <f t="shared" si="1"/>
        <v>0</v>
      </c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</row>
    <row r="60" spans="1:49" ht="29.25" customHeight="1">
      <c r="A60" s="86">
        <v>22011000</v>
      </c>
      <c r="B60" s="99" t="s">
        <v>32</v>
      </c>
      <c r="C60" s="97">
        <f t="shared" si="4"/>
        <v>5506240</v>
      </c>
      <c r="D60" s="97">
        <v>5506240</v>
      </c>
      <c r="E60" s="97"/>
      <c r="F60" s="97"/>
      <c r="G60" s="111">
        <f t="shared" si="1"/>
        <v>11012480</v>
      </c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</row>
    <row r="61" spans="1:49" ht="29.25" customHeight="1">
      <c r="A61" s="86">
        <v>22011100</v>
      </c>
      <c r="B61" s="99" t="s">
        <v>33</v>
      </c>
      <c r="C61" s="97">
        <f t="shared" si="4"/>
        <v>18444000</v>
      </c>
      <c r="D61" s="97">
        <v>18444000</v>
      </c>
      <c r="E61" s="97"/>
      <c r="F61" s="97"/>
      <c r="G61" s="111">
        <f t="shared" si="1"/>
        <v>36888000</v>
      </c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</row>
    <row r="62" spans="1:49" ht="29.25" customHeight="1">
      <c r="A62" s="86">
        <v>22011800</v>
      </c>
      <c r="B62" s="99" t="s">
        <v>97</v>
      </c>
      <c r="C62" s="97">
        <f t="shared" si="4"/>
        <v>859980</v>
      </c>
      <c r="D62" s="97">
        <v>859980</v>
      </c>
      <c r="E62" s="97"/>
      <c r="F62" s="97"/>
      <c r="G62" s="111">
        <f t="shared" si="1"/>
        <v>1719960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</row>
    <row r="63" spans="1:49" s="102" customFormat="1" ht="36" customHeight="1">
      <c r="A63" s="90">
        <v>22080000</v>
      </c>
      <c r="B63" s="98" t="s">
        <v>307</v>
      </c>
      <c r="C63" s="92">
        <f t="shared" si="4"/>
        <v>4524000</v>
      </c>
      <c r="D63" s="92">
        <f>D64</f>
        <v>4524000</v>
      </c>
      <c r="E63" s="92"/>
      <c r="F63" s="92"/>
      <c r="G63" s="111">
        <f t="shared" si="1"/>
        <v>9048000</v>
      </c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</row>
    <row r="64" spans="1:49" ht="33" customHeight="1">
      <c r="A64" s="86">
        <v>22080400</v>
      </c>
      <c r="B64" s="99" t="s">
        <v>280</v>
      </c>
      <c r="C64" s="97">
        <f t="shared" si="4"/>
        <v>4524000</v>
      </c>
      <c r="D64" s="97">
        <v>4524000</v>
      </c>
      <c r="E64" s="97"/>
      <c r="F64" s="97"/>
      <c r="G64" s="111">
        <f t="shared" si="1"/>
        <v>9048000</v>
      </c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</row>
    <row r="65" spans="1:49" s="102" customFormat="1" ht="31.5" hidden="1">
      <c r="A65" s="90">
        <v>22120000</v>
      </c>
      <c r="B65" s="98" t="s">
        <v>281</v>
      </c>
      <c r="C65" s="92">
        <f t="shared" si="4"/>
        <v>0</v>
      </c>
      <c r="D65" s="92"/>
      <c r="E65" s="92"/>
      <c r="F65" s="92"/>
      <c r="G65" s="111">
        <f t="shared" si="1"/>
        <v>0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</row>
    <row r="66" spans="1:49" s="102" customFormat="1" ht="78.75">
      <c r="A66" s="90">
        <v>22130000</v>
      </c>
      <c r="B66" s="98" t="s">
        <v>979</v>
      </c>
      <c r="C66" s="92">
        <f t="shared" si="4"/>
        <v>240000</v>
      </c>
      <c r="D66" s="92">
        <v>240000</v>
      </c>
      <c r="E66" s="92"/>
      <c r="F66" s="92"/>
      <c r="G66" s="111">
        <f t="shared" si="1"/>
        <v>480000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</row>
    <row r="67" spans="1:49" s="105" customFormat="1" ht="15.75">
      <c r="A67" s="87">
        <v>24000000</v>
      </c>
      <c r="B67" s="89" t="s">
        <v>282</v>
      </c>
      <c r="C67" s="88">
        <f>+C68</f>
        <v>620000</v>
      </c>
      <c r="D67" s="88">
        <f>+D68</f>
        <v>620000</v>
      </c>
      <c r="E67" s="88">
        <f>+E68</f>
        <v>0</v>
      </c>
      <c r="F67" s="88">
        <f>+F68</f>
        <v>0</v>
      </c>
      <c r="G67" s="111">
        <f t="shared" si="1"/>
        <v>1240000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  <c r="AV67" s="104"/>
      <c r="AW67" s="104"/>
    </row>
    <row r="68" spans="1:49" s="102" customFormat="1" ht="16.5" customHeight="1">
      <c r="A68" s="90">
        <v>24060000</v>
      </c>
      <c r="B68" s="98" t="s">
        <v>283</v>
      </c>
      <c r="C68" s="92">
        <f t="shared" ref="C68:C82" si="5">E68+D68</f>
        <v>620000</v>
      </c>
      <c r="D68" s="92">
        <f>+D69+D71+D70</f>
        <v>620000</v>
      </c>
      <c r="E68" s="92">
        <f>+E69+E71</f>
        <v>0</v>
      </c>
      <c r="F68" s="92">
        <f>+F69+F71</f>
        <v>0</v>
      </c>
      <c r="G68" s="111">
        <f t="shared" si="1"/>
        <v>1240000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</row>
    <row r="69" spans="1:49" ht="15.75">
      <c r="A69" s="86">
        <v>24060300</v>
      </c>
      <c r="B69" s="110" t="s">
        <v>283</v>
      </c>
      <c r="C69" s="97">
        <f t="shared" si="5"/>
        <v>620000</v>
      </c>
      <c r="D69" s="97">
        <v>620000</v>
      </c>
      <c r="E69" s="97"/>
      <c r="F69" s="97"/>
      <c r="G69" s="111">
        <f t="shared" si="1"/>
        <v>1240000</v>
      </c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</row>
    <row r="70" spans="1:49" ht="63" hidden="1">
      <c r="A70" s="86">
        <v>24062000</v>
      </c>
      <c r="B70" s="99" t="s">
        <v>28</v>
      </c>
      <c r="C70" s="97">
        <f t="shared" si="5"/>
        <v>0</v>
      </c>
      <c r="D70" s="97"/>
      <c r="E70" s="97"/>
      <c r="F70" s="97"/>
      <c r="G70" s="111">
        <f t="shared" si="1"/>
        <v>0</v>
      </c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</row>
    <row r="71" spans="1:49" ht="48.75" hidden="1" customHeight="1">
      <c r="A71" s="86">
        <v>24062100</v>
      </c>
      <c r="B71" s="99" t="s">
        <v>99</v>
      </c>
      <c r="C71" s="97">
        <f t="shared" si="5"/>
        <v>0</v>
      </c>
      <c r="D71" s="97"/>
      <c r="E71" s="97"/>
      <c r="F71" s="97"/>
      <c r="G71" s="111">
        <f t="shared" si="1"/>
        <v>0</v>
      </c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</row>
    <row r="72" spans="1:49" s="105" customFormat="1" ht="21" customHeight="1">
      <c r="A72" s="87">
        <v>25000000</v>
      </c>
      <c r="B72" s="89" t="s">
        <v>100</v>
      </c>
      <c r="C72" s="88">
        <f t="shared" si="5"/>
        <v>158520861</v>
      </c>
      <c r="D72" s="88"/>
      <c r="E72" s="88">
        <f>E73+E78</f>
        <v>158520861</v>
      </c>
      <c r="F72" s="88"/>
      <c r="G72" s="111">
        <f t="shared" si="1"/>
        <v>317041722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</row>
    <row r="73" spans="1:49" s="102" customFormat="1" ht="31.5" customHeight="1">
      <c r="A73" s="90">
        <v>25010000</v>
      </c>
      <c r="B73" s="98" t="s">
        <v>101</v>
      </c>
      <c r="C73" s="92">
        <f t="shared" si="5"/>
        <v>125418561</v>
      </c>
      <c r="D73" s="92"/>
      <c r="E73" s="92">
        <f>SUM(E74:E77)</f>
        <v>125418561</v>
      </c>
      <c r="F73" s="92"/>
      <c r="G73" s="111">
        <f t="shared" si="1"/>
        <v>250837122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</row>
    <row r="74" spans="1:49" ht="31.5">
      <c r="A74" s="86">
        <v>25010100</v>
      </c>
      <c r="B74" s="99" t="s">
        <v>394</v>
      </c>
      <c r="C74" s="97">
        <f t="shared" si="5"/>
        <v>93851328</v>
      </c>
      <c r="D74" s="88"/>
      <c r="E74" s="97">
        <f>84975828+8875500</f>
        <v>93851328</v>
      </c>
      <c r="F74" s="97"/>
      <c r="G74" s="111">
        <f t="shared" ref="G74:G137" si="6">SUM(C74:F74)</f>
        <v>187702656</v>
      </c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</row>
    <row r="75" spans="1:49" ht="31.5">
      <c r="A75" s="86">
        <v>25010200</v>
      </c>
      <c r="B75" s="99" t="s">
        <v>240</v>
      </c>
      <c r="C75" s="97">
        <f t="shared" si="5"/>
        <v>30692271</v>
      </c>
      <c r="D75" s="88"/>
      <c r="E75" s="97">
        <f>19581971+11110300</f>
        <v>30692271</v>
      </c>
      <c r="F75" s="97"/>
      <c r="G75" s="111">
        <f t="shared" si="6"/>
        <v>61384542</v>
      </c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</row>
    <row r="76" spans="1:49" ht="19.5" customHeight="1">
      <c r="A76" s="86">
        <v>25010300</v>
      </c>
      <c r="B76" s="99" t="s">
        <v>395</v>
      </c>
      <c r="C76" s="97">
        <f t="shared" si="5"/>
        <v>733172</v>
      </c>
      <c r="D76" s="88"/>
      <c r="E76" s="97">
        <f>376472+356700</f>
        <v>733172</v>
      </c>
      <c r="F76" s="97"/>
      <c r="G76" s="111">
        <f t="shared" si="6"/>
        <v>1466344</v>
      </c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</row>
    <row r="77" spans="1:49" ht="30.75" customHeight="1">
      <c r="A77" s="86">
        <v>25010400</v>
      </c>
      <c r="B77" s="99" t="s">
        <v>362</v>
      </c>
      <c r="C77" s="97">
        <f t="shared" si="5"/>
        <v>141790</v>
      </c>
      <c r="D77" s="88"/>
      <c r="E77" s="97">
        <v>141790</v>
      </c>
      <c r="F77" s="97"/>
      <c r="G77" s="111">
        <f t="shared" si="6"/>
        <v>283580</v>
      </c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</row>
    <row r="78" spans="1:49" s="102" customFormat="1" ht="15.75">
      <c r="A78" s="90">
        <v>25020000</v>
      </c>
      <c r="B78" s="98" t="s">
        <v>413</v>
      </c>
      <c r="C78" s="88">
        <f t="shared" si="5"/>
        <v>33102300</v>
      </c>
      <c r="D78" s="92"/>
      <c r="E78" s="92">
        <f>E79</f>
        <v>33102300</v>
      </c>
      <c r="F78" s="92"/>
      <c r="G78" s="111">
        <f t="shared" si="6"/>
        <v>66204600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</row>
    <row r="79" spans="1:49" ht="94.5">
      <c r="A79" s="86">
        <v>25020200</v>
      </c>
      <c r="B79" s="99" t="s">
        <v>393</v>
      </c>
      <c r="C79" s="97">
        <f t="shared" si="5"/>
        <v>33102300</v>
      </c>
      <c r="D79" s="88"/>
      <c r="E79" s="97">
        <v>33102300</v>
      </c>
      <c r="F79" s="97"/>
      <c r="G79" s="111">
        <f t="shared" si="6"/>
        <v>66204600</v>
      </c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</row>
    <row r="80" spans="1:49" ht="15.75" hidden="1">
      <c r="A80" s="87">
        <v>30000000</v>
      </c>
      <c r="B80" s="87" t="s">
        <v>47</v>
      </c>
      <c r="C80" s="88">
        <f t="shared" si="5"/>
        <v>0</v>
      </c>
      <c r="D80" s="88"/>
      <c r="E80" s="88">
        <f>E81</f>
        <v>0</v>
      </c>
      <c r="F80" s="88">
        <f>F81</f>
        <v>0</v>
      </c>
      <c r="G80" s="111">
        <f t="shared" si="6"/>
        <v>0</v>
      </c>
      <c r="H80" s="111"/>
      <c r="I80" s="111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</row>
    <row r="81" spans="1:49" ht="15.75" hidden="1">
      <c r="A81" s="87">
        <v>31000000</v>
      </c>
      <c r="B81" s="89" t="s">
        <v>48</v>
      </c>
      <c r="C81" s="88">
        <f t="shared" si="5"/>
        <v>0</v>
      </c>
      <c r="D81" s="88"/>
      <c r="E81" s="88">
        <f>E82</f>
        <v>0</v>
      </c>
      <c r="F81" s="88">
        <f>F82</f>
        <v>0</v>
      </c>
      <c r="G81" s="111">
        <f t="shared" si="6"/>
        <v>0</v>
      </c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</row>
    <row r="82" spans="1:49" ht="31.5" hidden="1">
      <c r="A82" s="86">
        <v>31030000</v>
      </c>
      <c r="B82" s="99" t="s">
        <v>127</v>
      </c>
      <c r="C82" s="97">
        <f t="shared" si="5"/>
        <v>0</v>
      </c>
      <c r="D82" s="88"/>
      <c r="E82" s="97"/>
      <c r="F82" s="97"/>
      <c r="G82" s="111">
        <f t="shared" si="6"/>
        <v>0</v>
      </c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</row>
    <row r="83" spans="1:49" ht="15.75">
      <c r="A83" s="87">
        <v>40000000</v>
      </c>
      <c r="B83" s="87" t="s">
        <v>322</v>
      </c>
      <c r="C83" s="220">
        <f>E83+D83</f>
        <v>7585634100.0299997</v>
      </c>
      <c r="D83" s="88">
        <f>+D84+D144</f>
        <v>6900967196</v>
      </c>
      <c r="E83" s="220">
        <f>+E84+E144</f>
        <v>684666904.02999997</v>
      </c>
      <c r="F83" s="220">
        <f>+F84+F144</f>
        <v>61045440.030000001</v>
      </c>
      <c r="G83" s="111">
        <f t="shared" si="6"/>
        <v>15232313640.09</v>
      </c>
      <c r="H83" s="111"/>
      <c r="I83" s="111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</row>
    <row r="84" spans="1:49" s="105" customFormat="1" ht="15.75">
      <c r="A84" s="87">
        <v>41000000</v>
      </c>
      <c r="B84" s="87" t="s">
        <v>237</v>
      </c>
      <c r="C84" s="88">
        <f>E84+D84</f>
        <v>7585436936.0299997</v>
      </c>
      <c r="D84" s="88">
        <f>D87+D100+D85+D136</f>
        <v>6900967196</v>
      </c>
      <c r="E84" s="88">
        <f>E87+E100+E85+E136</f>
        <v>684469740.02999997</v>
      </c>
      <c r="F84" s="88">
        <f>F87+F100+F85+F136</f>
        <v>61045440.030000001</v>
      </c>
      <c r="G84" s="111">
        <f t="shared" si="6"/>
        <v>15231919312.09</v>
      </c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</row>
    <row r="85" spans="1:49" s="102" customFormat="1" ht="15.75" hidden="1">
      <c r="A85" s="90">
        <v>41010000</v>
      </c>
      <c r="B85" s="112" t="s">
        <v>417</v>
      </c>
      <c r="C85" s="92">
        <f>D85+E85</f>
        <v>0</v>
      </c>
      <c r="D85" s="92"/>
      <c r="E85" s="92"/>
      <c r="F85" s="92"/>
      <c r="G85" s="111">
        <f t="shared" si="6"/>
        <v>0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</row>
    <row r="86" spans="1:49" ht="31.5" hidden="1">
      <c r="A86" s="86">
        <v>41010900</v>
      </c>
      <c r="B86" s="113" t="s">
        <v>238</v>
      </c>
      <c r="C86" s="97">
        <f>E86+D86</f>
        <v>0</v>
      </c>
      <c r="D86" s="97"/>
      <c r="E86" s="97"/>
      <c r="F86" s="97"/>
      <c r="G86" s="111">
        <f t="shared" si="6"/>
        <v>0</v>
      </c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</row>
    <row r="87" spans="1:49" s="102" customFormat="1" ht="15.75">
      <c r="A87" s="90">
        <v>41020000</v>
      </c>
      <c r="B87" s="114" t="s">
        <v>1621</v>
      </c>
      <c r="C87" s="92">
        <f>C88+C89+C91+C94+C95+C92+C96+C97+C93+C90+C99</f>
        <v>682243600</v>
      </c>
      <c r="D87" s="92">
        <f>D88+D89+D91+D94+D95+D92+D96+D97+D93+D90+D99</f>
        <v>682243600</v>
      </c>
      <c r="E87" s="92">
        <f>E88+E89+E91+E94+E95+E92+E96+E97+E93+E90+E99</f>
        <v>0</v>
      </c>
      <c r="F87" s="92">
        <f>F88+F89+F91+F94+F95+F92+F96+F97+F93+F90+F99</f>
        <v>0</v>
      </c>
      <c r="G87" s="111">
        <f t="shared" si="6"/>
        <v>1364487200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</row>
    <row r="88" spans="1:49" ht="15.75">
      <c r="A88" s="86">
        <v>41020100</v>
      </c>
      <c r="B88" s="113" t="s">
        <v>239</v>
      </c>
      <c r="C88" s="97">
        <f t="shared" ref="C88:C99" si="7">E88+D88</f>
        <v>35179200</v>
      </c>
      <c r="D88" s="97">
        <v>35179200</v>
      </c>
      <c r="E88" s="97"/>
      <c r="F88" s="97"/>
      <c r="G88" s="111">
        <f t="shared" si="6"/>
        <v>70358400</v>
      </c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</row>
    <row r="89" spans="1:49" ht="15.75" hidden="1">
      <c r="A89" s="115">
        <v>41020600</v>
      </c>
      <c r="B89" s="99" t="s">
        <v>34</v>
      </c>
      <c r="C89" s="97">
        <f t="shared" si="7"/>
        <v>0</v>
      </c>
      <c r="D89" s="97"/>
      <c r="E89" s="97"/>
      <c r="F89" s="97"/>
      <c r="G89" s="111">
        <f t="shared" si="6"/>
        <v>0</v>
      </c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</row>
    <row r="90" spans="1:49" ht="63" hidden="1">
      <c r="A90" s="115">
        <v>41021100</v>
      </c>
      <c r="B90" s="99" t="s">
        <v>249</v>
      </c>
      <c r="C90" s="97">
        <f t="shared" si="7"/>
        <v>0</v>
      </c>
      <c r="D90" s="97"/>
      <c r="E90" s="97"/>
      <c r="F90" s="97"/>
      <c r="G90" s="111">
        <f t="shared" si="6"/>
        <v>0</v>
      </c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</row>
    <row r="91" spans="1:49" ht="47.25" hidden="1">
      <c r="A91" s="115">
        <v>41021100</v>
      </c>
      <c r="B91" s="99" t="s">
        <v>0</v>
      </c>
      <c r="C91" s="97">
        <f t="shared" si="7"/>
        <v>0</v>
      </c>
      <c r="D91" s="97"/>
      <c r="E91" s="97"/>
      <c r="F91" s="97"/>
      <c r="G91" s="111">
        <f t="shared" si="6"/>
        <v>0</v>
      </c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</row>
    <row r="92" spans="1:49" ht="47.25" hidden="1">
      <c r="A92" s="115">
        <v>41021200</v>
      </c>
      <c r="B92" s="99" t="s">
        <v>341</v>
      </c>
      <c r="C92" s="97">
        <f t="shared" si="7"/>
        <v>0</v>
      </c>
      <c r="D92" s="97"/>
      <c r="E92" s="97"/>
      <c r="F92" s="97"/>
      <c r="G92" s="111">
        <f t="shared" si="6"/>
        <v>0</v>
      </c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</row>
    <row r="93" spans="1:49" ht="47.25" hidden="1">
      <c r="A93" s="115">
        <v>41021300</v>
      </c>
      <c r="B93" s="99" t="s">
        <v>250</v>
      </c>
      <c r="C93" s="97">
        <f t="shared" si="7"/>
        <v>0</v>
      </c>
      <c r="D93" s="97"/>
      <c r="E93" s="97"/>
      <c r="F93" s="97"/>
      <c r="G93" s="111">
        <f t="shared" si="6"/>
        <v>0</v>
      </c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</row>
    <row r="94" spans="1:49" ht="78.75" hidden="1">
      <c r="A94" s="115">
        <v>41021600</v>
      </c>
      <c r="B94" s="99" t="s">
        <v>67</v>
      </c>
      <c r="C94" s="97">
        <f t="shared" si="7"/>
        <v>0</v>
      </c>
      <c r="D94" s="97"/>
      <c r="E94" s="97"/>
      <c r="F94" s="97"/>
      <c r="G94" s="111">
        <f t="shared" si="6"/>
        <v>0</v>
      </c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</row>
    <row r="95" spans="1:49" ht="63" hidden="1">
      <c r="A95" s="115">
        <v>41021700</v>
      </c>
      <c r="B95" s="99" t="s">
        <v>308</v>
      </c>
      <c r="C95" s="97">
        <f t="shared" si="7"/>
        <v>0</v>
      </c>
      <c r="D95" s="97"/>
      <c r="E95" s="97"/>
      <c r="F95" s="97"/>
      <c r="G95" s="111">
        <f t="shared" si="6"/>
        <v>0</v>
      </c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</row>
    <row r="96" spans="1:49" ht="31.5" hidden="1">
      <c r="A96" s="115">
        <v>41021800</v>
      </c>
      <c r="B96" s="113" t="s">
        <v>287</v>
      </c>
      <c r="C96" s="97">
        <f t="shared" si="7"/>
        <v>0</v>
      </c>
      <c r="D96" s="97"/>
      <c r="E96" s="97"/>
      <c r="F96" s="97"/>
      <c r="G96" s="111">
        <f t="shared" si="6"/>
        <v>0</v>
      </c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</row>
    <row r="97" spans="1:49" ht="63" hidden="1">
      <c r="A97" s="115">
        <v>41021900</v>
      </c>
      <c r="B97" s="113" t="s">
        <v>342</v>
      </c>
      <c r="C97" s="97">
        <f t="shared" si="7"/>
        <v>0</v>
      </c>
      <c r="D97" s="97"/>
      <c r="E97" s="97"/>
      <c r="F97" s="97"/>
      <c r="G97" s="111">
        <f t="shared" si="6"/>
        <v>0</v>
      </c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</row>
    <row r="98" spans="1:49" ht="15.75" hidden="1">
      <c r="A98" s="115"/>
      <c r="B98" s="113"/>
      <c r="C98" s="97">
        <f t="shared" si="7"/>
        <v>0</v>
      </c>
      <c r="D98" s="97"/>
      <c r="E98" s="97"/>
      <c r="F98" s="97"/>
      <c r="G98" s="111">
        <f t="shared" si="6"/>
        <v>0</v>
      </c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</row>
    <row r="99" spans="1:49" ht="47.25">
      <c r="A99" s="216">
        <v>41020200</v>
      </c>
      <c r="B99" s="113" t="s">
        <v>80</v>
      </c>
      <c r="C99" s="97">
        <f t="shared" si="7"/>
        <v>647064400</v>
      </c>
      <c r="D99" s="97">
        <v>647064400</v>
      </c>
      <c r="E99" s="97"/>
      <c r="F99" s="97"/>
      <c r="G99" s="111">
        <f t="shared" si="6"/>
        <v>1294128800</v>
      </c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</row>
    <row r="100" spans="1:49" s="102" customFormat="1" ht="15.75">
      <c r="A100" s="90">
        <v>41030000</v>
      </c>
      <c r="B100" s="114" t="s">
        <v>1620</v>
      </c>
      <c r="C100" s="92">
        <f>SUM(C101:C135)</f>
        <v>6830312860</v>
      </c>
      <c r="D100" s="92">
        <f>SUM(D101:D135)</f>
        <v>6206888560</v>
      </c>
      <c r="E100" s="92">
        <f>SUM(E101:E135)</f>
        <v>623424300</v>
      </c>
      <c r="F100" s="92">
        <f>SUM(F101:F135)</f>
        <v>0</v>
      </c>
      <c r="G100" s="111">
        <f t="shared" si="6"/>
        <v>13660625720</v>
      </c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</row>
    <row r="101" spans="1:49" s="102" customFormat="1" ht="189">
      <c r="A101" s="116">
        <v>41030500</v>
      </c>
      <c r="B101" s="131" t="s">
        <v>2296</v>
      </c>
      <c r="C101" s="97">
        <f t="shared" ref="C101:C123" si="8">E101+D101</f>
        <v>577044</v>
      </c>
      <c r="D101" s="385">
        <v>577044</v>
      </c>
      <c r="E101" s="92"/>
      <c r="F101" s="92"/>
      <c r="G101" s="111">
        <f t="shared" si="6"/>
        <v>1154088</v>
      </c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</row>
    <row r="102" spans="1:49" ht="168" customHeight="1">
      <c r="A102" s="115">
        <v>41030600</v>
      </c>
      <c r="B102" s="129" t="s">
        <v>790</v>
      </c>
      <c r="C102" s="97">
        <f t="shared" si="8"/>
        <v>1928724100</v>
      </c>
      <c r="D102" s="97">
        <f>2226143700-288732600-8687000</f>
        <v>1928724100</v>
      </c>
      <c r="E102" s="97"/>
      <c r="F102" s="97"/>
      <c r="G102" s="111">
        <f t="shared" si="6"/>
        <v>3857448200</v>
      </c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</row>
    <row r="103" spans="1:49" ht="94.5">
      <c r="A103" s="115">
        <v>41030800</v>
      </c>
      <c r="B103" s="129" t="s">
        <v>791</v>
      </c>
      <c r="C103" s="97">
        <f t="shared" si="8"/>
        <v>2672953700</v>
      </c>
      <c r="D103" s="97">
        <f>2855953700-183000000</f>
        <v>2672953700</v>
      </c>
      <c r="E103" s="97"/>
      <c r="F103" s="97"/>
      <c r="G103" s="111">
        <f t="shared" si="6"/>
        <v>5345907400</v>
      </c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</row>
    <row r="104" spans="1:49" ht="204.75" hidden="1">
      <c r="A104" s="115">
        <v>41030900</v>
      </c>
      <c r="B104" s="129" t="s">
        <v>201</v>
      </c>
      <c r="C104" s="97">
        <f t="shared" si="8"/>
        <v>0</v>
      </c>
      <c r="D104" s="97"/>
      <c r="E104" s="97"/>
      <c r="F104" s="97"/>
      <c r="G104" s="111">
        <f t="shared" si="6"/>
        <v>0</v>
      </c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</row>
    <row r="105" spans="1:49" ht="47.25">
      <c r="A105" s="115">
        <v>41031000</v>
      </c>
      <c r="B105" s="130" t="s">
        <v>792</v>
      </c>
      <c r="C105" s="97">
        <f t="shared" si="8"/>
        <v>200584800</v>
      </c>
      <c r="D105" s="97">
        <f>213584800-13000000</f>
        <v>200584800</v>
      </c>
      <c r="E105" s="97"/>
      <c r="F105" s="97"/>
      <c r="G105" s="111">
        <f t="shared" si="6"/>
        <v>401169600</v>
      </c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</row>
    <row r="106" spans="1:49" ht="63" hidden="1">
      <c r="A106" s="115">
        <v>41033400</v>
      </c>
      <c r="B106" s="130" t="s">
        <v>378</v>
      </c>
      <c r="C106" s="97">
        <f t="shared" si="8"/>
        <v>0</v>
      </c>
      <c r="D106" s="97">
        <f>F106+E106</f>
        <v>0</v>
      </c>
      <c r="E106" s="97"/>
      <c r="F106" s="97"/>
      <c r="G106" s="111">
        <f t="shared" si="6"/>
        <v>0</v>
      </c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</row>
    <row r="107" spans="1:49" ht="63" hidden="1">
      <c r="A107" s="116">
        <v>41031800</v>
      </c>
      <c r="B107" s="131" t="s">
        <v>288</v>
      </c>
      <c r="C107" s="97">
        <f t="shared" si="8"/>
        <v>0</v>
      </c>
      <c r="D107" s="97">
        <f>F107+E107</f>
        <v>0</v>
      </c>
      <c r="E107" s="97"/>
      <c r="F107" s="97"/>
      <c r="G107" s="111">
        <f t="shared" si="6"/>
        <v>0</v>
      </c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</row>
    <row r="108" spans="1:49" ht="47.25">
      <c r="A108" s="116">
        <v>41032600</v>
      </c>
      <c r="B108" s="131" t="s">
        <v>794</v>
      </c>
      <c r="C108" s="97">
        <f t="shared" si="8"/>
        <v>4411300</v>
      </c>
      <c r="D108" s="97">
        <v>4411300</v>
      </c>
      <c r="E108" s="97"/>
      <c r="F108" s="97"/>
      <c r="G108" s="111">
        <f t="shared" si="6"/>
        <v>8822600</v>
      </c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</row>
    <row r="109" spans="1:49" ht="31.5" hidden="1">
      <c r="A109" s="115">
        <v>41033800</v>
      </c>
      <c r="B109" s="132" t="s">
        <v>343</v>
      </c>
      <c r="C109" s="97">
        <f t="shared" si="8"/>
        <v>0</v>
      </c>
      <c r="D109" s="97">
        <f>F109+E109</f>
        <v>0</v>
      </c>
      <c r="E109" s="97"/>
      <c r="F109" s="97"/>
      <c r="G109" s="111">
        <f t="shared" si="6"/>
        <v>0</v>
      </c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</row>
    <row r="110" spans="1:49" ht="47.25" hidden="1">
      <c r="A110" s="116">
        <v>41032800</v>
      </c>
      <c r="B110" s="130" t="s">
        <v>418</v>
      </c>
      <c r="C110" s="97">
        <f t="shared" si="8"/>
        <v>0</v>
      </c>
      <c r="D110" s="97">
        <f>F110+E110</f>
        <v>0</v>
      </c>
      <c r="E110" s="97"/>
      <c r="F110" s="97"/>
      <c r="G110" s="111">
        <f t="shared" si="6"/>
        <v>0</v>
      </c>
      <c r="H110" s="1064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</row>
    <row r="111" spans="1:49" ht="47.25" hidden="1">
      <c r="A111" s="115">
        <v>41033000</v>
      </c>
      <c r="B111" s="131" t="s">
        <v>419</v>
      </c>
      <c r="C111" s="97">
        <f t="shared" si="8"/>
        <v>0</v>
      </c>
      <c r="D111" s="97">
        <f>F111+E111</f>
        <v>0</v>
      </c>
      <c r="E111" s="97"/>
      <c r="F111" s="97"/>
      <c r="G111" s="111">
        <f t="shared" si="6"/>
        <v>0</v>
      </c>
      <c r="H111" s="1064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</row>
    <row r="112" spans="1:49" ht="56.45" customHeight="1">
      <c r="A112" s="115">
        <v>41033300</v>
      </c>
      <c r="B112" s="131" t="s">
        <v>2532</v>
      </c>
      <c r="C112" s="97">
        <f t="shared" si="8"/>
        <v>38913500</v>
      </c>
      <c r="D112" s="97">
        <v>38913500</v>
      </c>
      <c r="E112" s="97"/>
      <c r="F112" s="97"/>
      <c r="G112" s="111">
        <f t="shared" si="6"/>
        <v>77827000</v>
      </c>
      <c r="H112" s="389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</row>
    <row r="113" spans="1:49" ht="31.5" hidden="1">
      <c r="A113" s="115">
        <v>41033500</v>
      </c>
      <c r="B113" s="131" t="s">
        <v>129</v>
      </c>
      <c r="C113" s="97">
        <f t="shared" si="8"/>
        <v>0</v>
      </c>
      <c r="D113" s="97"/>
      <c r="E113" s="97"/>
      <c r="F113" s="97"/>
      <c r="G113" s="111">
        <f t="shared" si="6"/>
        <v>0</v>
      </c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</row>
    <row r="114" spans="1:49" ht="47.25">
      <c r="A114" s="116">
        <v>41033700</v>
      </c>
      <c r="B114" s="131" t="s">
        <v>793</v>
      </c>
      <c r="C114" s="97">
        <f t="shared" si="8"/>
        <v>606500</v>
      </c>
      <c r="D114" s="97">
        <v>606500</v>
      </c>
      <c r="E114" s="97"/>
      <c r="F114" s="97"/>
      <c r="G114" s="111">
        <f t="shared" si="6"/>
        <v>1213000</v>
      </c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</row>
    <row r="115" spans="1:49" ht="31.5">
      <c r="A115" s="216">
        <v>41033500</v>
      </c>
      <c r="B115" s="130" t="s">
        <v>119</v>
      </c>
      <c r="C115" s="97">
        <f>E115+D115</f>
        <v>11538000</v>
      </c>
      <c r="D115" s="97">
        <v>11538000</v>
      </c>
      <c r="E115" s="97"/>
      <c r="F115" s="97"/>
      <c r="G115" s="111">
        <f t="shared" si="6"/>
        <v>23076000</v>
      </c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</row>
    <row r="116" spans="1:49" ht="47.25">
      <c r="A116" s="216">
        <v>41033600</v>
      </c>
      <c r="B116" s="130" t="s">
        <v>120</v>
      </c>
      <c r="C116" s="97">
        <f>E116+D116</f>
        <v>34467500</v>
      </c>
      <c r="D116" s="97">
        <f>31967500+2500000</f>
        <v>34467500</v>
      </c>
      <c r="E116" s="97"/>
      <c r="F116" s="97"/>
      <c r="G116" s="111">
        <f t="shared" si="6"/>
        <v>68935000</v>
      </c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</row>
    <row r="117" spans="1:49" ht="31.5" hidden="1">
      <c r="A117" s="115">
        <v>41033800</v>
      </c>
      <c r="B117" s="131" t="s">
        <v>343</v>
      </c>
      <c r="C117" s="97">
        <f t="shared" si="8"/>
        <v>0</v>
      </c>
      <c r="D117" s="97">
        <f>F117+E117</f>
        <v>0</v>
      </c>
      <c r="E117" s="97"/>
      <c r="F117" s="97"/>
      <c r="G117" s="111">
        <f t="shared" si="6"/>
        <v>0</v>
      </c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</row>
    <row r="118" spans="1:49" ht="47.25">
      <c r="A118" s="116">
        <v>41033800</v>
      </c>
      <c r="B118" s="131" t="s">
        <v>1713</v>
      </c>
      <c r="C118" s="97">
        <f>E118+D118</f>
        <v>2930000</v>
      </c>
      <c r="D118" s="97">
        <v>2930000</v>
      </c>
      <c r="E118" s="97"/>
      <c r="F118" s="97"/>
      <c r="G118" s="111">
        <f t="shared" si="6"/>
        <v>5860000</v>
      </c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</row>
    <row r="119" spans="1:49" ht="15.75">
      <c r="A119" s="115">
        <v>41033900</v>
      </c>
      <c r="B119" s="131" t="s">
        <v>295</v>
      </c>
      <c r="C119" s="97">
        <f t="shared" si="8"/>
        <v>221405000</v>
      </c>
      <c r="D119" s="97">
        <f>208746300+10400000+2258700</f>
        <v>221405000</v>
      </c>
      <c r="E119" s="97"/>
      <c r="F119" s="97"/>
      <c r="G119" s="111">
        <f t="shared" si="6"/>
        <v>442810000</v>
      </c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</row>
    <row r="120" spans="1:49" ht="15.75">
      <c r="A120" s="115">
        <v>41034200</v>
      </c>
      <c r="B120" s="131" t="s">
        <v>296</v>
      </c>
      <c r="C120" s="97">
        <f t="shared" si="8"/>
        <v>905772100</v>
      </c>
      <c r="D120" s="97">
        <f>839054500+47842800+18874800</f>
        <v>905772100</v>
      </c>
      <c r="E120" s="97"/>
      <c r="F120" s="97"/>
      <c r="G120" s="111">
        <f t="shared" si="6"/>
        <v>1811544200</v>
      </c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</row>
    <row r="121" spans="1:49" ht="110.25" hidden="1">
      <c r="A121" s="115">
        <v>41034300</v>
      </c>
      <c r="B121" s="131" t="s">
        <v>68</v>
      </c>
      <c r="C121" s="97">
        <f t="shared" si="8"/>
        <v>0</v>
      </c>
      <c r="D121" s="97">
        <f>F121+E121</f>
        <v>0</v>
      </c>
      <c r="E121" s="97"/>
      <c r="F121" s="97"/>
      <c r="G121" s="111">
        <f t="shared" si="6"/>
        <v>0</v>
      </c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</row>
    <row r="122" spans="1:49" ht="63" customHeight="1">
      <c r="A122" s="272">
        <v>41034400</v>
      </c>
      <c r="B122" s="273" t="s">
        <v>795</v>
      </c>
      <c r="C122" s="97">
        <f t="shared" si="8"/>
        <v>18255500</v>
      </c>
      <c r="D122" s="97">
        <v>18255500</v>
      </c>
      <c r="E122" s="97"/>
      <c r="F122" s="97"/>
      <c r="G122" s="111">
        <f t="shared" si="6"/>
        <v>36511000</v>
      </c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</row>
    <row r="123" spans="1:49" ht="47.25">
      <c r="A123" s="274">
        <v>41034500</v>
      </c>
      <c r="B123" s="273" t="s">
        <v>31</v>
      </c>
      <c r="C123" s="97">
        <f t="shared" si="8"/>
        <v>100000</v>
      </c>
      <c r="D123" s="97">
        <v>100000</v>
      </c>
      <c r="E123" s="97"/>
      <c r="F123" s="97"/>
      <c r="G123" s="111">
        <f t="shared" si="6"/>
        <v>200000</v>
      </c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</row>
    <row r="124" spans="1:49" ht="47.25" hidden="1">
      <c r="A124" s="116">
        <v>41034800</v>
      </c>
      <c r="B124" s="131" t="s">
        <v>188</v>
      </c>
      <c r="C124" s="97">
        <f>E124+D124</f>
        <v>0</v>
      </c>
      <c r="D124" s="97">
        <f>F124+E124</f>
        <v>0</v>
      </c>
      <c r="E124" s="97"/>
      <c r="F124" s="97"/>
      <c r="G124" s="111">
        <f t="shared" si="6"/>
        <v>0</v>
      </c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</row>
    <row r="125" spans="1:49" ht="47.25" hidden="1">
      <c r="A125" s="115">
        <v>41035200</v>
      </c>
      <c r="B125" s="131" t="s">
        <v>276</v>
      </c>
      <c r="C125" s="97">
        <f t="shared" ref="C125:C133" si="9">E125+D125</f>
        <v>0</v>
      </c>
      <c r="D125" s="97"/>
      <c r="E125" s="97"/>
      <c r="F125" s="157"/>
      <c r="G125" s="111">
        <f t="shared" si="6"/>
        <v>0</v>
      </c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</row>
    <row r="126" spans="1:49" ht="31.5">
      <c r="A126" s="216">
        <v>41035400</v>
      </c>
      <c r="B126" s="131" t="s">
        <v>143</v>
      </c>
      <c r="C126" s="97">
        <f t="shared" si="9"/>
        <v>11452100</v>
      </c>
      <c r="D126" s="97">
        <f>13710800-2258700</f>
        <v>11452100</v>
      </c>
      <c r="E126" s="97"/>
      <c r="F126" s="97"/>
      <c r="G126" s="111">
        <f t="shared" si="6"/>
        <v>22904200</v>
      </c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</row>
    <row r="127" spans="1:49" ht="129.6" customHeight="1">
      <c r="A127" s="116">
        <v>41035800</v>
      </c>
      <c r="B127" s="131" t="s">
        <v>284</v>
      </c>
      <c r="C127" s="97">
        <f t="shared" si="9"/>
        <v>36167500</v>
      </c>
      <c r="D127" s="97">
        <f>37351500-1184000</f>
        <v>36167500</v>
      </c>
      <c r="E127" s="97"/>
      <c r="F127" s="97"/>
      <c r="G127" s="111">
        <f t="shared" si="6"/>
        <v>72335000</v>
      </c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</row>
    <row r="128" spans="1:49" ht="160.9" customHeight="1">
      <c r="A128" s="116">
        <v>41036100</v>
      </c>
      <c r="B128" s="131" t="s">
        <v>1853</v>
      </c>
      <c r="C128" s="97">
        <f t="shared" si="9"/>
        <v>50213663</v>
      </c>
      <c r="D128" s="385">
        <f>25684603+6099560+18429500</f>
        <v>50213663</v>
      </c>
      <c r="E128" s="97"/>
      <c r="F128" s="97"/>
      <c r="G128" s="111">
        <f t="shared" si="6"/>
        <v>100427326</v>
      </c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</row>
    <row r="129" spans="1:49" ht="194.25" customHeight="1">
      <c r="A129" s="116">
        <v>41036400</v>
      </c>
      <c r="B129" s="131" t="s">
        <v>1832</v>
      </c>
      <c r="C129" s="97">
        <f t="shared" si="9"/>
        <v>23817953</v>
      </c>
      <c r="D129" s="97">
        <f>23449453+368500</f>
        <v>23817953</v>
      </c>
      <c r="E129" s="97"/>
      <c r="F129" s="97"/>
      <c r="G129" s="111">
        <f t="shared" si="6"/>
        <v>47635906</v>
      </c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</row>
    <row r="130" spans="1:49" ht="173.25">
      <c r="A130" s="116">
        <v>41036600</v>
      </c>
      <c r="B130" s="403" t="s">
        <v>2537</v>
      </c>
      <c r="C130" s="97">
        <f t="shared" si="9"/>
        <v>6267000</v>
      </c>
      <c r="D130" s="97"/>
      <c r="E130" s="97">
        <v>6267000</v>
      </c>
      <c r="F130" s="97"/>
      <c r="G130" s="111">
        <f t="shared" si="6"/>
        <v>12534000</v>
      </c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</row>
    <row r="131" spans="1:49" ht="47.25">
      <c r="A131" s="116">
        <v>41037000</v>
      </c>
      <c r="B131" s="131" t="s">
        <v>184</v>
      </c>
      <c r="C131" s="97">
        <f t="shared" si="9"/>
        <v>2559800</v>
      </c>
      <c r="D131" s="97">
        <f>558000+2861500-859700</f>
        <v>2559800</v>
      </c>
      <c r="E131" s="97"/>
      <c r="F131" s="97"/>
      <c r="G131" s="111">
        <f t="shared" si="6"/>
        <v>5119600</v>
      </c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</row>
    <row r="132" spans="1:49" ht="47.25">
      <c r="A132" s="274">
        <v>41037200</v>
      </c>
      <c r="B132" s="131" t="s">
        <v>1711</v>
      </c>
      <c r="C132" s="97">
        <f t="shared" si="9"/>
        <v>41438500</v>
      </c>
      <c r="D132" s="117">
        <f>51838500-10400000</f>
        <v>41438500</v>
      </c>
      <c r="E132" s="97"/>
      <c r="F132" s="97"/>
      <c r="G132" s="111">
        <f t="shared" si="6"/>
        <v>82877000</v>
      </c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</row>
    <row r="133" spans="1:49" ht="63">
      <c r="A133" s="274">
        <v>41037300</v>
      </c>
      <c r="B133" s="273" t="s">
        <v>803</v>
      </c>
      <c r="C133" s="97">
        <f t="shared" si="9"/>
        <v>617157300</v>
      </c>
      <c r="D133" s="97"/>
      <c r="E133" s="97">
        <v>617157300</v>
      </c>
      <c r="F133" s="97"/>
      <c r="G133" s="111">
        <f t="shared" si="6"/>
        <v>1234314600</v>
      </c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</row>
    <row r="134" spans="1:49" ht="31.5" hidden="1">
      <c r="A134" s="116">
        <v>41037800</v>
      </c>
      <c r="B134" s="131" t="s">
        <v>363</v>
      </c>
      <c r="C134" s="97">
        <f>E134+D134</f>
        <v>0</v>
      </c>
      <c r="D134" s="97"/>
      <c r="E134" s="97"/>
      <c r="F134" s="97"/>
      <c r="G134" s="111">
        <f t="shared" si="6"/>
        <v>0</v>
      </c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</row>
    <row r="135" spans="1:49" ht="63" hidden="1">
      <c r="A135" s="115">
        <v>41039700</v>
      </c>
      <c r="B135" s="131" t="s">
        <v>36</v>
      </c>
      <c r="C135" s="97">
        <f>E135+D135</f>
        <v>0</v>
      </c>
      <c r="D135" s="97"/>
      <c r="E135" s="97"/>
      <c r="F135" s="97"/>
      <c r="G135" s="111">
        <f t="shared" si="6"/>
        <v>0</v>
      </c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</row>
    <row r="136" spans="1:49" s="102" customFormat="1" ht="15.75">
      <c r="A136" s="90">
        <v>41050000</v>
      </c>
      <c r="B136" s="114" t="s">
        <v>1626</v>
      </c>
      <c r="C136" s="400">
        <f>C142+C141+C140+C137+C139+C138</f>
        <v>72880476.030000001</v>
      </c>
      <c r="D136" s="400">
        <f>D142+D141+D140+D137+D139+D138</f>
        <v>11835036</v>
      </c>
      <c r="E136" s="400">
        <f>E142+E141+E140+E137+E139+E138</f>
        <v>61045440.030000001</v>
      </c>
      <c r="F136" s="400">
        <f>F142+F141+F140+F137+F139+F138</f>
        <v>61045440.030000001</v>
      </c>
      <c r="G136" s="111">
        <f t="shared" si="6"/>
        <v>206806392.09</v>
      </c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</row>
    <row r="137" spans="1:49" s="102" customFormat="1" ht="31.5">
      <c r="A137" s="272">
        <v>41051100</v>
      </c>
      <c r="B137" s="273" t="s">
        <v>550</v>
      </c>
      <c r="C137" s="289">
        <f t="shared" ref="C137:C142" si="10">E137+D137</f>
        <v>559234</v>
      </c>
      <c r="D137" s="289"/>
      <c r="E137" s="289">
        <f>62850+285043+105060+88847+1200000+17434-1200000</f>
        <v>559234</v>
      </c>
      <c r="F137" s="289">
        <f t="shared" ref="F137:F142" si="11">E137</f>
        <v>559234</v>
      </c>
      <c r="G137" s="111">
        <f t="shared" si="6"/>
        <v>1677702</v>
      </c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</row>
    <row r="138" spans="1:49" s="102" customFormat="1" ht="52.5" customHeight="1">
      <c r="A138" s="272">
        <v>41052400</v>
      </c>
      <c r="B138" s="273" t="s">
        <v>1831</v>
      </c>
      <c r="C138" s="289">
        <f t="shared" si="10"/>
        <v>10732876</v>
      </c>
      <c r="D138" s="289">
        <f>6627178+2044300+973902+367496+720000</f>
        <v>10732876</v>
      </c>
      <c r="E138" s="289">
        <f>2470687+1695600-4166287</f>
        <v>0</v>
      </c>
      <c r="F138" s="289">
        <f t="shared" si="11"/>
        <v>0</v>
      </c>
      <c r="G138" s="111">
        <f t="shared" ref="G138:G150" si="12">SUM(C138:F138)</f>
        <v>21465752</v>
      </c>
      <c r="H138" s="382">
        <f>E141+D138</f>
        <v>42212323.030000001</v>
      </c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</row>
    <row r="139" spans="1:49" s="102" customFormat="1" ht="71.25" hidden="1" customHeight="1">
      <c r="A139" s="272">
        <v>41053500</v>
      </c>
      <c r="B139" s="273" t="s">
        <v>1830</v>
      </c>
      <c r="C139" s="289">
        <f t="shared" si="10"/>
        <v>0</v>
      </c>
      <c r="D139" s="289"/>
      <c r="E139" s="289">
        <f>200000-200000</f>
        <v>0</v>
      </c>
      <c r="F139" s="289">
        <f t="shared" si="11"/>
        <v>0</v>
      </c>
      <c r="G139" s="111">
        <f t="shared" si="12"/>
        <v>0</v>
      </c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</row>
    <row r="140" spans="1:49" s="102" customFormat="1" ht="31.5">
      <c r="A140" s="272">
        <v>41053600</v>
      </c>
      <c r="B140" s="273" t="s">
        <v>1707</v>
      </c>
      <c r="C140" s="289">
        <f t="shared" si="10"/>
        <v>2102417</v>
      </c>
      <c r="D140" s="289"/>
      <c r="E140" s="289">
        <f>1070000+751100+66480+202637+12200</f>
        <v>2102417</v>
      </c>
      <c r="F140" s="289">
        <f t="shared" si="11"/>
        <v>2102417</v>
      </c>
      <c r="G140" s="111">
        <f t="shared" si="12"/>
        <v>6307251</v>
      </c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</row>
    <row r="141" spans="1:49" s="102" customFormat="1" ht="31.5">
      <c r="A141" s="272">
        <v>41053700</v>
      </c>
      <c r="B141" s="273" t="s">
        <v>943</v>
      </c>
      <c r="C141" s="289">
        <f t="shared" si="10"/>
        <v>31479447.030000001</v>
      </c>
      <c r="D141" s="289"/>
      <c r="E141" s="289">
        <f>8180354+8238068+4143693.03+1291033-645600+3022469+801647+1168976+2215760+669880+2293167+100000</f>
        <v>31479447.030000001</v>
      </c>
      <c r="F141" s="289">
        <f t="shared" si="11"/>
        <v>31479447.030000001</v>
      </c>
      <c r="G141" s="111">
        <f t="shared" si="12"/>
        <v>94438341.090000004</v>
      </c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</row>
    <row r="142" spans="1:49" s="291" customFormat="1" ht="15.75">
      <c r="A142" s="272">
        <v>41053900</v>
      </c>
      <c r="B142" s="273" t="s">
        <v>516</v>
      </c>
      <c r="C142" s="289">
        <f t="shared" si="10"/>
        <v>28006502</v>
      </c>
      <c r="D142" s="289">
        <f>60000+300000+383160+30000+229000+100000</f>
        <v>1102160</v>
      </c>
      <c r="E142" s="289">
        <f>4060000+18336041-379644-4934007+2174857+2256990+1151800+206083+1939390-45100+610266+574213+77643+730587+145223</f>
        <v>26904342</v>
      </c>
      <c r="F142" s="289">
        <f t="shared" si="11"/>
        <v>26904342</v>
      </c>
      <c r="G142" s="111">
        <f t="shared" si="12"/>
        <v>82917346</v>
      </c>
      <c r="H142" s="290"/>
      <c r="I142" s="290"/>
      <c r="J142" s="290"/>
      <c r="K142" s="290"/>
      <c r="L142" s="290"/>
      <c r="M142" s="290"/>
      <c r="N142" s="290"/>
      <c r="O142" s="290"/>
      <c r="P142" s="290"/>
      <c r="Q142" s="290"/>
      <c r="R142" s="290"/>
      <c r="S142" s="290"/>
      <c r="T142" s="290"/>
      <c r="U142" s="290"/>
      <c r="V142" s="290"/>
      <c r="W142" s="290"/>
      <c r="X142" s="290"/>
      <c r="Y142" s="290"/>
      <c r="Z142" s="290"/>
      <c r="AA142" s="290"/>
      <c r="AB142" s="290"/>
      <c r="AC142" s="290"/>
      <c r="AD142" s="290"/>
      <c r="AE142" s="290"/>
      <c r="AF142" s="290"/>
      <c r="AG142" s="290"/>
      <c r="AH142" s="290"/>
      <c r="AI142" s="290"/>
      <c r="AJ142" s="290"/>
      <c r="AK142" s="290"/>
      <c r="AL142" s="290"/>
      <c r="AM142" s="290"/>
      <c r="AN142" s="290"/>
      <c r="AO142" s="290"/>
      <c r="AP142" s="290"/>
      <c r="AQ142" s="290"/>
      <c r="AR142" s="290"/>
      <c r="AS142" s="290"/>
      <c r="AT142" s="290"/>
      <c r="AU142" s="290"/>
      <c r="AV142" s="290"/>
      <c r="AW142" s="290"/>
    </row>
    <row r="143" spans="1:49" ht="31.5">
      <c r="A143" s="87">
        <v>42000000</v>
      </c>
      <c r="B143" s="225" t="s">
        <v>185</v>
      </c>
      <c r="C143" s="220">
        <f>C144</f>
        <v>197164</v>
      </c>
      <c r="D143" s="220">
        <f>D144</f>
        <v>0</v>
      </c>
      <c r="E143" s="220">
        <f>E144</f>
        <v>197164</v>
      </c>
      <c r="F143" s="88">
        <f>F144</f>
        <v>0</v>
      </c>
      <c r="G143" s="111">
        <f t="shared" si="12"/>
        <v>394328</v>
      </c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</row>
    <row r="144" spans="1:49" ht="16.5" customHeight="1">
      <c r="A144" s="116">
        <v>42020000</v>
      </c>
      <c r="B144" s="131" t="s">
        <v>25</v>
      </c>
      <c r="C144" s="118">
        <f t="shared" ref="C144:C149" si="13">E144+D144</f>
        <v>197164</v>
      </c>
      <c r="D144" s="118"/>
      <c r="E144" s="118">
        <v>197164</v>
      </c>
      <c r="F144" s="97"/>
      <c r="G144" s="111">
        <f t="shared" si="12"/>
        <v>394328</v>
      </c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</row>
    <row r="145" spans="1:49" ht="15.75" hidden="1">
      <c r="A145" s="87">
        <v>50000000</v>
      </c>
      <c r="B145" s="133" t="s">
        <v>192</v>
      </c>
      <c r="C145" s="88">
        <f t="shared" si="13"/>
        <v>0</v>
      </c>
      <c r="D145" s="88"/>
      <c r="E145" s="88">
        <f>+E146+E149</f>
        <v>0</v>
      </c>
      <c r="F145" s="88">
        <f>+F146+F149</f>
        <v>0</v>
      </c>
      <c r="G145" s="111">
        <f t="shared" si="12"/>
        <v>0</v>
      </c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</row>
    <row r="146" spans="1:49" ht="15.75" hidden="1">
      <c r="A146" s="86">
        <v>50080000</v>
      </c>
      <c r="B146" s="132" t="s">
        <v>26</v>
      </c>
      <c r="C146" s="88">
        <f t="shared" si="13"/>
        <v>0</v>
      </c>
      <c r="D146" s="97"/>
      <c r="E146" s="97">
        <f>E147+E148</f>
        <v>0</v>
      </c>
      <c r="F146" s="97"/>
      <c r="G146" s="111">
        <f t="shared" si="12"/>
        <v>0</v>
      </c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</row>
    <row r="147" spans="1:49" ht="31.5" hidden="1">
      <c r="A147" s="86">
        <v>50080200</v>
      </c>
      <c r="B147" s="134" t="s">
        <v>27</v>
      </c>
      <c r="C147" s="88">
        <f t="shared" si="13"/>
        <v>0</v>
      </c>
      <c r="D147" s="97"/>
      <c r="E147" s="97"/>
      <c r="F147" s="97"/>
      <c r="G147" s="111">
        <f t="shared" si="12"/>
        <v>0</v>
      </c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</row>
    <row r="148" spans="1:49" ht="31.5" hidden="1">
      <c r="A148" s="86">
        <v>50080300</v>
      </c>
      <c r="B148" s="134" t="s">
        <v>273</v>
      </c>
      <c r="C148" s="88">
        <f t="shared" si="13"/>
        <v>0</v>
      </c>
      <c r="D148" s="97"/>
      <c r="E148" s="97"/>
      <c r="F148" s="97"/>
      <c r="G148" s="111">
        <f t="shared" si="12"/>
        <v>0</v>
      </c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</row>
    <row r="149" spans="1:49" ht="47.25" hidden="1">
      <c r="A149" s="86">
        <v>50110000</v>
      </c>
      <c r="B149" s="134" t="s">
        <v>244</v>
      </c>
      <c r="C149" s="88">
        <f t="shared" si="13"/>
        <v>0</v>
      </c>
      <c r="D149" s="97"/>
      <c r="E149" s="97"/>
      <c r="F149" s="97"/>
      <c r="G149" s="111">
        <f t="shared" si="12"/>
        <v>0</v>
      </c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</row>
    <row r="150" spans="1:49" ht="24" customHeight="1">
      <c r="A150" s="110"/>
      <c r="B150" s="133" t="s">
        <v>245</v>
      </c>
      <c r="C150" s="220">
        <f>+C9+C48+C83+C145+C80</f>
        <v>8776874961.0299988</v>
      </c>
      <c r="D150" s="220">
        <f>+D9+D48+D83+D145+D80</f>
        <v>7870728796</v>
      </c>
      <c r="E150" s="220">
        <f>+E9+E48+E83+E145+E80</f>
        <v>906146165.02999997</v>
      </c>
      <c r="F150" s="220">
        <f>+F9+F48+F83+F145+F80</f>
        <v>61045440.030000001</v>
      </c>
      <c r="G150" s="111">
        <f t="shared" si="12"/>
        <v>17614795362.089996</v>
      </c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</row>
    <row r="151" spans="1:49" ht="15.95" customHeight="1">
      <c r="A151" s="119"/>
      <c r="B151" s="135"/>
      <c r="C151" s="120"/>
      <c r="D151" s="120"/>
      <c r="E151" s="120"/>
      <c r="F151" s="120"/>
      <c r="G151" s="80">
        <v>1</v>
      </c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</row>
    <row r="152" spans="1:49" ht="37.15" customHeight="1">
      <c r="A152" s="121" t="s">
        <v>271</v>
      </c>
      <c r="B152" s="121"/>
      <c r="C152" s="125"/>
      <c r="D152" s="126"/>
      <c r="E152" s="121" t="s">
        <v>1852</v>
      </c>
      <c r="G152" s="80">
        <v>1</v>
      </c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</row>
    <row r="153" spans="1:49" ht="18.75">
      <c r="A153" s="121"/>
      <c r="B153" s="122"/>
      <c r="C153" s="123"/>
      <c r="D153" s="124"/>
      <c r="E153" s="124"/>
      <c r="F153" s="123"/>
      <c r="G153" s="80">
        <v>1</v>
      </c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</row>
    <row r="154" spans="1:49" hidden="1"/>
    <row r="155" spans="1:49" hidden="1">
      <c r="C155" s="79" t="b">
        <f>D150+E150=C150</f>
        <v>1</v>
      </c>
    </row>
    <row r="156" spans="1:49" ht="18.75" hidden="1">
      <c r="A156" s="121"/>
      <c r="B156" s="122"/>
      <c r="C156" s="123"/>
      <c r="D156" s="124"/>
      <c r="E156" s="124"/>
      <c r="F156" s="123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</row>
    <row r="157" spans="1:49" ht="42" hidden="1" customHeight="1">
      <c r="A157" s="121"/>
      <c r="B157" s="121"/>
      <c r="C157" s="120">
        <f>+C150-C83</f>
        <v>1191240860.999999</v>
      </c>
      <c r="D157" s="120">
        <f>+D150-D83</f>
        <v>969761600</v>
      </c>
      <c r="E157" s="120">
        <f>+E150-E83</f>
        <v>221479261</v>
      </c>
      <c r="F157" s="120">
        <f>+F150-F83</f>
        <v>0</v>
      </c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</row>
    <row r="158" spans="1:49" ht="12.6" hidden="1" customHeight="1">
      <c r="A158" s="127"/>
      <c r="B158" s="127"/>
      <c r="C158" s="127"/>
      <c r="D158" s="127"/>
      <c r="E158" s="127"/>
      <c r="F158" s="127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</row>
    <row r="159" spans="1:49" ht="12.6" hidden="1" customHeight="1">
      <c r="A159" s="127"/>
      <c r="B159" s="127"/>
      <c r="C159" s="127"/>
      <c r="D159" s="127"/>
      <c r="E159" s="127"/>
      <c r="F159" s="127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</row>
    <row r="160" spans="1:49" ht="12.6" hidden="1" customHeight="1">
      <c r="A160" s="80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</row>
    <row r="161" spans="1:49" ht="21" hidden="1" customHeight="1">
      <c r="A161" s="80"/>
      <c r="B161" s="121"/>
      <c r="C161" s="121">
        <v>633147107</v>
      </c>
      <c r="D161" s="80">
        <v>515715400</v>
      </c>
      <c r="E161" s="80">
        <v>117431707</v>
      </c>
      <c r="F161" s="121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</row>
    <row r="162" spans="1:49" hidden="1">
      <c r="A162" s="80"/>
      <c r="B162" s="80"/>
      <c r="C162" s="80"/>
      <c r="D162" s="111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</row>
    <row r="163" spans="1:49" hidden="1">
      <c r="A163" s="80"/>
      <c r="B163" s="80"/>
      <c r="C163" s="111">
        <f>C157-C161</f>
        <v>558093753.99999905</v>
      </c>
      <c r="D163" s="111">
        <f>D157-D161</f>
        <v>454046200</v>
      </c>
      <c r="E163" s="111">
        <f>E157-E161</f>
        <v>104047554</v>
      </c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</row>
    <row r="164" spans="1:49" hidden="1">
      <c r="A164" s="80"/>
      <c r="B164" s="80"/>
      <c r="C164" s="111">
        <f>D9+D48</f>
        <v>969761600</v>
      </c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</row>
    <row r="165" spans="1:49" hidden="1">
      <c r="A165" s="80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</row>
    <row r="166" spans="1:49" hidden="1">
      <c r="A166" s="80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</row>
    <row r="167" spans="1:49" hidden="1">
      <c r="A167" s="80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</row>
    <row r="168" spans="1:49" hidden="1">
      <c r="A168" s="80"/>
      <c r="B168" s="80"/>
      <c r="C168" s="80">
        <v>6908669994.2600002</v>
      </c>
      <c r="D168" s="80">
        <v>6545017250</v>
      </c>
      <c r="E168" s="80">
        <v>363652744.25999999</v>
      </c>
      <c r="F168" s="80">
        <v>36963564</v>
      </c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</row>
    <row r="169" spans="1:49" hidden="1">
      <c r="A169" s="80"/>
      <c r="B169" s="80"/>
      <c r="C169" s="228">
        <f>C150-C168</f>
        <v>1868204966.7699986</v>
      </c>
      <c r="D169" s="228">
        <f>D150-D168</f>
        <v>1325711546</v>
      </c>
      <c r="E169" s="228">
        <f>E150-E168</f>
        <v>542493420.76999998</v>
      </c>
      <c r="F169" s="228">
        <f>F150-F168</f>
        <v>24081876.030000001</v>
      </c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80"/>
      <c r="AS169" s="80"/>
      <c r="AT169" s="80"/>
      <c r="AU169" s="80"/>
      <c r="AV169" s="80"/>
      <c r="AW169" s="80"/>
    </row>
    <row r="170" spans="1:49" hidden="1">
      <c r="A170" s="80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  <c r="AT170" s="80"/>
      <c r="AU170" s="80"/>
      <c r="AV170" s="80"/>
      <c r="AW170" s="80"/>
    </row>
    <row r="171" spans="1:49" hidden="1">
      <c r="A171" s="80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AO171" s="80"/>
      <c r="AP171" s="80"/>
      <c r="AQ171" s="80"/>
      <c r="AR171" s="80"/>
      <c r="AS171" s="80"/>
      <c r="AT171" s="80"/>
      <c r="AU171" s="80"/>
      <c r="AV171" s="80"/>
      <c r="AW171" s="80"/>
    </row>
    <row r="172" spans="1:49" hidden="1">
      <c r="A172" s="80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80"/>
      <c r="AT172" s="80"/>
      <c r="AU172" s="80"/>
      <c r="AV172" s="80"/>
      <c r="AW172" s="80"/>
    </row>
    <row r="173" spans="1:49" hidden="1">
      <c r="A173" s="80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R173" s="80"/>
      <c r="AS173" s="80"/>
      <c r="AT173" s="80"/>
      <c r="AU173" s="80"/>
      <c r="AV173" s="80"/>
      <c r="AW173" s="80"/>
    </row>
    <row r="174" spans="1:49" hidden="1">
      <c r="A174" s="80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</row>
    <row r="175" spans="1:49" hidden="1">
      <c r="A175" s="80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</row>
    <row r="176" spans="1:49" hidden="1">
      <c r="A176" s="80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</row>
    <row r="177" spans="1:49" hidden="1">
      <c r="A177" s="80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</row>
    <row r="178" spans="1:49" hidden="1">
      <c r="A178" s="80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</row>
    <row r="179" spans="1:49" hidden="1">
      <c r="A179" s="80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</row>
    <row r="180" spans="1:49" hidden="1">
      <c r="A180" s="80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</row>
    <row r="181" spans="1:49" hidden="1">
      <c r="A181" s="80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</row>
    <row r="182" spans="1:49" hidden="1">
      <c r="A182" s="80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</row>
    <row r="183" spans="1:49" hidden="1">
      <c r="A183" s="80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</row>
    <row r="184" spans="1:49" hidden="1">
      <c r="A184" s="80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</row>
    <row r="185" spans="1:49" hidden="1">
      <c r="A185" s="80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</row>
    <row r="186" spans="1:49" hidden="1">
      <c r="A186" s="80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</row>
    <row r="187" spans="1:49" hidden="1">
      <c r="A187" s="80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</row>
    <row r="188" spans="1:49" hidden="1">
      <c r="A188" s="80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</row>
    <row r="189" spans="1:49" hidden="1">
      <c r="A189" s="80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</row>
    <row r="190" spans="1:49" hidden="1">
      <c r="A190" s="80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</row>
    <row r="191" spans="1:49" hidden="1">
      <c r="A191" s="80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</row>
    <row r="192" spans="1:49" hidden="1">
      <c r="A192" s="80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</row>
    <row r="193" spans="1:49" hidden="1">
      <c r="A193" s="80"/>
      <c r="B193" s="80"/>
      <c r="C193" s="80"/>
      <c r="D193" s="80"/>
      <c r="E193" s="128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</row>
    <row r="194" spans="1:49" hidden="1">
      <c r="A194" s="80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0"/>
      <c r="AM194" s="80"/>
      <c r="AN194" s="80"/>
      <c r="AO194" s="80"/>
      <c r="AP194" s="80"/>
      <c r="AQ194" s="80"/>
      <c r="AR194" s="80"/>
      <c r="AS194" s="80"/>
      <c r="AT194" s="80"/>
      <c r="AU194" s="80"/>
      <c r="AV194" s="80"/>
      <c r="AW194" s="80"/>
    </row>
    <row r="195" spans="1:49" hidden="1">
      <c r="A195" s="80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  <c r="AN195" s="80"/>
      <c r="AO195" s="80"/>
      <c r="AP195" s="80"/>
      <c r="AQ195" s="80"/>
      <c r="AR195" s="80"/>
      <c r="AS195" s="80"/>
      <c r="AT195" s="80"/>
      <c r="AU195" s="80"/>
      <c r="AV195" s="80"/>
      <c r="AW195" s="80"/>
    </row>
    <row r="196" spans="1:49" hidden="1">
      <c r="A196" s="80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  <c r="AN196" s="80"/>
      <c r="AO196" s="80"/>
      <c r="AP196" s="80"/>
      <c r="AQ196" s="80"/>
      <c r="AR196" s="80"/>
      <c r="AS196" s="80"/>
      <c r="AT196" s="80"/>
      <c r="AU196" s="80"/>
      <c r="AV196" s="80"/>
      <c r="AW196" s="80"/>
    </row>
    <row r="197" spans="1:49" hidden="1">
      <c r="A197" s="80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  <c r="AN197" s="80"/>
      <c r="AO197" s="80"/>
      <c r="AP197" s="80"/>
      <c r="AQ197" s="80"/>
      <c r="AR197" s="80"/>
      <c r="AS197" s="80"/>
      <c r="AT197" s="80"/>
      <c r="AU197" s="80"/>
      <c r="AV197" s="80"/>
      <c r="AW197" s="80"/>
    </row>
    <row r="198" spans="1:49" hidden="1">
      <c r="A198" s="80"/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  <c r="AO198" s="80"/>
      <c r="AP198" s="80"/>
      <c r="AQ198" s="80"/>
      <c r="AR198" s="80"/>
      <c r="AS198" s="80"/>
      <c r="AT198" s="80"/>
      <c r="AU198" s="80"/>
      <c r="AV198" s="80"/>
      <c r="AW198" s="80"/>
    </row>
    <row r="199" spans="1:49" hidden="1">
      <c r="A199" s="80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</row>
    <row r="200" spans="1:49" hidden="1"/>
    <row r="201" spans="1:49" hidden="1"/>
    <row r="202" spans="1:49" hidden="1"/>
    <row r="203" spans="1:49" hidden="1">
      <c r="C203" s="380">
        <v>8932380833.0299988</v>
      </c>
      <c r="D203" s="380">
        <v>8105501763</v>
      </c>
      <c r="E203" s="380">
        <v>826879070.02999997</v>
      </c>
      <c r="F203" s="380">
        <v>44245345.030000001</v>
      </c>
    </row>
    <row r="204" spans="1:49" hidden="1">
      <c r="C204" s="380">
        <f>C150-C203</f>
        <v>-155505872</v>
      </c>
      <c r="D204" s="380">
        <f>D150-D203</f>
        <v>-234772967</v>
      </c>
      <c r="E204" s="380">
        <f>E150-E203</f>
        <v>79267095</v>
      </c>
      <c r="F204" s="380">
        <f>F150-F203</f>
        <v>16800095</v>
      </c>
    </row>
    <row r="205" spans="1:49" hidden="1">
      <c r="C205" s="380">
        <f>C204-C207-C208-C209-C210-C211-C212-C213-C214</f>
        <v>-155505872</v>
      </c>
      <c r="D205" s="380">
        <f>D204-D207-D208-D209-D210-D211-D212-D213-D214</f>
        <v>-315073824</v>
      </c>
      <c r="E205" s="380">
        <f>E204-E207-E208-E209-E210-E211-E212-E213-E214</f>
        <v>45739555</v>
      </c>
      <c r="F205" s="380">
        <f>F204-F207-F208-F209-F210-F211-F212-F213-F214</f>
        <v>16800095</v>
      </c>
    </row>
    <row r="206" spans="1:49" hidden="1"/>
    <row r="207" spans="1:49" hidden="1">
      <c r="C207" s="79">
        <f>SUBTOTAL(9,D207:E207)</f>
        <v>0</v>
      </c>
      <c r="D207" s="79">
        <v>50074800</v>
      </c>
    </row>
    <row r="208" spans="1:49" hidden="1">
      <c r="C208" s="79">
        <f t="shared" ref="C208:C215" si="14">SUBTOTAL(9,D208:E208)</f>
        <v>0</v>
      </c>
      <c r="D208" s="79">
        <v>100000</v>
      </c>
    </row>
    <row r="209" spans="3:5" hidden="1">
      <c r="C209" s="79">
        <f t="shared" si="14"/>
        <v>0</v>
      </c>
      <c r="D209" s="79">
        <v>6099560</v>
      </c>
    </row>
    <row r="210" spans="3:5" hidden="1">
      <c r="C210" s="79">
        <f t="shared" si="14"/>
        <v>0</v>
      </c>
      <c r="D210" s="79">
        <v>23449453</v>
      </c>
    </row>
    <row r="211" spans="3:5" hidden="1">
      <c r="C211" s="79">
        <f t="shared" si="14"/>
        <v>0</v>
      </c>
      <c r="D211" s="79">
        <v>577044</v>
      </c>
    </row>
    <row r="212" spans="3:5" hidden="1"/>
    <row r="213" spans="3:5" hidden="1">
      <c r="C213" s="79">
        <f t="shared" si="14"/>
        <v>0</v>
      </c>
      <c r="E213" s="79">
        <v>19474800</v>
      </c>
    </row>
    <row r="214" spans="3:5" hidden="1">
      <c r="C214" s="79">
        <f t="shared" si="14"/>
        <v>0</v>
      </c>
      <c r="E214" s="79">
        <v>14052740</v>
      </c>
    </row>
    <row r="215" spans="3:5" hidden="1">
      <c r="C215" s="79">
        <f t="shared" si="14"/>
        <v>0</v>
      </c>
    </row>
    <row r="216" spans="3:5" hidden="1">
      <c r="C216" s="79">
        <f>SUBTOTAL(9,C207:C215)</f>
        <v>0</v>
      </c>
      <c r="D216" s="79">
        <f>SUBTOTAL(9,D207:D215)</f>
        <v>0</v>
      </c>
      <c r="E216" s="79">
        <f>SUBTOTAL(9,E207:E215)</f>
        <v>0</v>
      </c>
    </row>
    <row r="217" spans="3:5" hidden="1"/>
    <row r="218" spans="3:5" hidden="1">
      <c r="C218" s="79">
        <f>SUBTOTAL(9,C207:C214)</f>
        <v>0</v>
      </c>
    </row>
    <row r="219" spans="3:5" hidden="1"/>
    <row r="220" spans="3:5" hidden="1"/>
    <row r="221" spans="3:5" hidden="1"/>
    <row r="222" spans="3:5" hidden="1"/>
    <row r="223" spans="3:5" hidden="1"/>
    <row r="224" spans="3:5" hidden="1"/>
    <row r="225" hidden="1"/>
  </sheetData>
  <autoFilter ref="G1:G199">
    <filterColumn colId="0">
      <customFilters and="1">
        <customFilter operator="greaterThan" val="0"/>
      </customFilters>
    </filterColumn>
  </autoFilter>
  <mergeCells count="7">
    <mergeCell ref="H110:H111"/>
    <mergeCell ref="C6:C7"/>
    <mergeCell ref="A4:E4"/>
    <mergeCell ref="E6:F6"/>
    <mergeCell ref="B6:B7"/>
    <mergeCell ref="D6:D7"/>
    <mergeCell ref="A6:A7"/>
  </mergeCells>
  <phoneticPr fontId="0" type="noConversion"/>
  <pageMargins left="0.78740157480314965" right="0.18" top="0.24" bottom="0.19685039370078741" header="0.2" footer="0.19685039370078741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filterMode="1"/>
  <dimension ref="A1:AQ2019"/>
  <sheetViews>
    <sheetView view="pageBreakPreview" zoomScale="75" zoomScaleNormal="65" zoomScaleSheetLayoutView="75" workbookViewId="0">
      <pane xSplit="2" ySplit="7" topLeftCell="C1951" activePane="bottomRight" state="frozen"/>
      <selection pane="topRight" activeCell="C1" sqref="C1"/>
      <selection pane="bottomLeft" activeCell="A8" sqref="A8"/>
      <selection pane="bottomRight" activeCell="A2000" sqref="A2000:IV2019"/>
    </sheetView>
  </sheetViews>
  <sheetFormatPr defaultRowHeight="18.75"/>
  <cols>
    <col min="1" max="1" width="26.85546875" style="493" customWidth="1"/>
    <col min="2" max="2" width="44.42578125" style="480" customWidth="1"/>
    <col min="3" max="3" width="20.7109375" style="480" customWidth="1"/>
    <col min="4" max="4" width="22.5703125" style="480" customWidth="1"/>
    <col min="5" max="5" width="21.5703125" style="440" customWidth="1"/>
    <col min="6" max="6" width="16.85546875" style="5" hidden="1" customWidth="1"/>
    <col min="7" max="7" width="13.7109375" style="5" hidden="1" customWidth="1"/>
    <col min="8" max="8" width="16.42578125" style="302" hidden="1" customWidth="1"/>
    <col min="9" max="9" width="17.140625" style="302" hidden="1" customWidth="1"/>
    <col min="10" max="11" width="0" style="302" hidden="1" customWidth="1"/>
    <col min="12" max="12" width="63.85546875" style="302" hidden="1" customWidth="1"/>
    <col min="13" max="20" width="0" style="302" hidden="1" customWidth="1"/>
    <col min="21" max="16384" width="9.140625" style="302"/>
  </cols>
  <sheetData>
    <row r="1" spans="1:43" s="458" customFormat="1" ht="23.45" customHeight="1">
      <c r="A1" s="437"/>
      <c r="B1" s="438"/>
      <c r="C1" s="438"/>
      <c r="D1" s="439" t="s">
        <v>116</v>
      </c>
      <c r="E1" s="440"/>
      <c r="F1" s="69"/>
      <c r="G1" s="11"/>
      <c r="H1" s="457"/>
      <c r="I1" s="457">
        <v>1</v>
      </c>
      <c r="J1" s="457"/>
      <c r="K1" s="457"/>
      <c r="L1" s="310" t="s">
        <v>1819</v>
      </c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457"/>
      <c r="AC1" s="457"/>
      <c r="AD1" s="457"/>
      <c r="AE1" s="457"/>
      <c r="AF1" s="457"/>
      <c r="AG1" s="457"/>
      <c r="AH1" s="457"/>
      <c r="AI1" s="457"/>
      <c r="AJ1" s="457"/>
      <c r="AK1" s="457"/>
      <c r="AL1" s="457"/>
      <c r="AM1" s="457"/>
      <c r="AN1" s="457"/>
      <c r="AO1" s="457"/>
      <c r="AP1" s="457"/>
      <c r="AQ1" s="457"/>
    </row>
    <row r="2" spans="1:43" s="458" customFormat="1" ht="18.600000000000001" customHeight="1">
      <c r="A2" s="441"/>
      <c r="B2" s="442"/>
      <c r="C2" s="442"/>
      <c r="D2" s="439" t="s">
        <v>476</v>
      </c>
      <c r="E2" s="440"/>
      <c r="F2" s="69"/>
      <c r="G2" s="11"/>
      <c r="H2" s="457"/>
      <c r="I2" s="457">
        <v>1</v>
      </c>
      <c r="J2" s="457"/>
      <c r="K2" s="457"/>
      <c r="L2" s="310" t="s">
        <v>1681</v>
      </c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  <c r="AQ2" s="457"/>
    </row>
    <row r="3" spans="1:43" s="458" customFormat="1">
      <c r="A3" s="441"/>
      <c r="B3" s="442"/>
      <c r="C3" s="442"/>
      <c r="D3" s="439" t="s">
        <v>3247</v>
      </c>
      <c r="E3" s="440"/>
      <c r="F3" s="69"/>
      <c r="G3" s="11"/>
      <c r="H3" s="457"/>
      <c r="I3" s="457">
        <v>1</v>
      </c>
      <c r="J3" s="457"/>
      <c r="K3" s="457"/>
      <c r="L3" s="310" t="s">
        <v>1053</v>
      </c>
      <c r="M3" s="457"/>
      <c r="N3" s="457"/>
      <c r="O3" s="457"/>
      <c r="P3" s="457"/>
      <c r="Q3" s="457"/>
      <c r="R3" s="457"/>
      <c r="S3" s="457"/>
      <c r="T3" s="457"/>
      <c r="U3" s="457"/>
      <c r="V3" s="457"/>
      <c r="W3" s="457"/>
      <c r="X3" s="457"/>
      <c r="Y3" s="457"/>
      <c r="Z3" s="457"/>
      <c r="AA3" s="457"/>
      <c r="AB3" s="457"/>
      <c r="AC3" s="457"/>
      <c r="AD3" s="457"/>
      <c r="AE3" s="457"/>
      <c r="AF3" s="457"/>
      <c r="AG3" s="457"/>
      <c r="AH3" s="457"/>
      <c r="AI3" s="457"/>
      <c r="AJ3" s="457"/>
      <c r="AK3" s="457"/>
      <c r="AL3" s="457"/>
      <c r="AM3" s="457"/>
      <c r="AN3" s="457"/>
      <c r="AO3" s="457"/>
      <c r="AP3" s="457"/>
      <c r="AQ3" s="457"/>
    </row>
    <row r="4" spans="1:43" s="458" customFormat="1" ht="37.5" customHeight="1">
      <c r="A4" s="1083" t="s">
        <v>981</v>
      </c>
      <c r="B4" s="1083"/>
      <c r="C4" s="1083"/>
      <c r="D4" s="1083"/>
      <c r="E4" s="1084"/>
      <c r="F4" s="1085"/>
      <c r="G4" s="3"/>
      <c r="H4" s="457"/>
      <c r="I4" s="457">
        <v>1</v>
      </c>
      <c r="J4" s="457"/>
      <c r="K4" s="457"/>
      <c r="L4" s="440" t="s">
        <v>2416</v>
      </c>
      <c r="M4" s="457"/>
      <c r="N4" s="457"/>
      <c r="O4" s="457"/>
      <c r="P4" s="457"/>
      <c r="Q4" s="457"/>
      <c r="R4" s="457"/>
      <c r="S4" s="457"/>
      <c r="T4" s="457"/>
      <c r="U4" s="457"/>
      <c r="V4" s="457"/>
      <c r="W4" s="457"/>
      <c r="X4" s="457"/>
      <c r="Y4" s="457"/>
      <c r="Z4" s="457"/>
      <c r="AA4" s="457"/>
      <c r="AB4" s="457"/>
      <c r="AC4" s="457"/>
      <c r="AD4" s="457"/>
      <c r="AE4" s="457"/>
      <c r="AF4" s="457"/>
      <c r="AG4" s="457"/>
      <c r="AH4" s="457"/>
      <c r="AI4" s="457"/>
      <c r="AJ4" s="457"/>
      <c r="AK4" s="457"/>
      <c r="AL4" s="457"/>
      <c r="AM4" s="457"/>
      <c r="AN4" s="457"/>
      <c r="AO4" s="457"/>
      <c r="AP4" s="457"/>
      <c r="AQ4" s="457"/>
    </row>
    <row r="5" spans="1:43" ht="16.5" customHeight="1">
      <c r="A5" s="443"/>
      <c r="B5" s="444"/>
      <c r="C5" s="444"/>
      <c r="D5" s="444"/>
      <c r="E5" s="445" t="s">
        <v>383</v>
      </c>
      <c r="F5" s="70"/>
      <c r="G5" s="71"/>
      <c r="I5" s="302">
        <v>1</v>
      </c>
    </row>
    <row r="6" spans="1:43" ht="54.75" customHeight="1">
      <c r="A6" s="446" t="s">
        <v>117</v>
      </c>
      <c r="B6" s="447" t="s">
        <v>105</v>
      </c>
      <c r="C6" s="447" t="s">
        <v>302</v>
      </c>
      <c r="D6" s="448" t="s">
        <v>180</v>
      </c>
      <c r="E6" s="449" t="s">
        <v>181</v>
      </c>
      <c r="F6" s="70"/>
      <c r="G6" s="71"/>
      <c r="I6" s="302">
        <v>1</v>
      </c>
    </row>
    <row r="7" spans="1:43" ht="18" customHeight="1">
      <c r="A7" s="446">
        <v>1</v>
      </c>
      <c r="B7" s="447">
        <v>2</v>
      </c>
      <c r="C7" s="447">
        <v>3</v>
      </c>
      <c r="D7" s="448">
        <v>4</v>
      </c>
      <c r="E7" s="449">
        <v>5</v>
      </c>
      <c r="F7" s="70"/>
      <c r="G7" s="71"/>
      <c r="I7" s="302">
        <v>1</v>
      </c>
    </row>
    <row r="8" spans="1:43" s="460" customFormat="1" ht="225">
      <c r="A8" s="1068" t="s">
        <v>364</v>
      </c>
      <c r="B8" s="451" t="s">
        <v>1023</v>
      </c>
      <c r="C8" s="452">
        <v>1000000</v>
      </c>
      <c r="D8" s="452"/>
      <c r="E8" s="452">
        <v>1000000</v>
      </c>
      <c r="F8" s="136"/>
      <c r="G8" s="136"/>
      <c r="H8" s="459">
        <f>E8+D8-C8</f>
        <v>0</v>
      </c>
      <c r="I8" s="459">
        <f>SUM(C8:E8)</f>
        <v>2000000</v>
      </c>
    </row>
    <row r="9" spans="1:43" ht="93.75">
      <c r="A9" s="1068"/>
      <c r="B9" s="310" t="s">
        <v>1706</v>
      </c>
      <c r="C9" s="453">
        <v>679400</v>
      </c>
      <c r="D9" s="453"/>
      <c r="E9" s="454">
        <v>679400</v>
      </c>
      <c r="F9" s="55"/>
      <c r="G9" s="55"/>
      <c r="H9" s="459">
        <f t="shared" ref="H9:H72" si="0">E9+D9-C9</f>
        <v>0</v>
      </c>
      <c r="I9" s="459">
        <f t="shared" ref="I9:I72" si="1">SUM(C9:E9)</f>
        <v>1358800</v>
      </c>
      <c r="J9" s="460"/>
    </row>
    <row r="10" spans="1:43" ht="93.75">
      <c r="A10" s="1068"/>
      <c r="B10" s="310" t="s">
        <v>1819</v>
      </c>
      <c r="C10" s="455">
        <v>1400000</v>
      </c>
      <c r="D10" s="455"/>
      <c r="E10" s="456">
        <v>1400000</v>
      </c>
      <c r="F10" s="372"/>
      <c r="G10" s="372"/>
      <c r="H10" s="459">
        <f t="shared" si="0"/>
        <v>0</v>
      </c>
      <c r="I10" s="459">
        <f t="shared" si="1"/>
        <v>2800000</v>
      </c>
      <c r="J10" s="460" t="s">
        <v>1861</v>
      </c>
    </row>
    <row r="11" spans="1:43" s="5" customFormat="1" hidden="1">
      <c r="A11" s="1069"/>
      <c r="B11" s="244"/>
      <c r="C11" s="430"/>
      <c r="D11" s="430"/>
      <c r="E11" s="430"/>
      <c r="F11" s="55"/>
      <c r="G11" s="55"/>
      <c r="H11" s="136">
        <f t="shared" si="0"/>
        <v>0</v>
      </c>
      <c r="I11" s="136">
        <f t="shared" si="1"/>
        <v>0</v>
      </c>
      <c r="J11" s="73"/>
    </row>
    <row r="12" spans="1:43" s="5" customFormat="1" hidden="1">
      <c r="A12" s="1069"/>
      <c r="B12" s="244"/>
      <c r="C12" s="430"/>
      <c r="D12" s="430"/>
      <c r="E12" s="430"/>
      <c r="F12" s="55"/>
      <c r="G12" s="55"/>
      <c r="H12" s="136">
        <f t="shared" si="0"/>
        <v>0</v>
      </c>
      <c r="I12" s="136">
        <f t="shared" si="1"/>
        <v>0</v>
      </c>
      <c r="J12" s="73"/>
    </row>
    <row r="13" spans="1:43" s="5" customFormat="1" hidden="1">
      <c r="A13" s="1069"/>
      <c r="B13" s="244"/>
      <c r="C13" s="430"/>
      <c r="D13" s="430"/>
      <c r="E13" s="430"/>
      <c r="F13" s="55"/>
      <c r="G13" s="55"/>
      <c r="H13" s="136">
        <f t="shared" si="0"/>
        <v>0</v>
      </c>
      <c r="I13" s="136">
        <f t="shared" si="1"/>
        <v>0</v>
      </c>
      <c r="J13" s="73"/>
    </row>
    <row r="14" spans="1:43" s="5" customFormat="1" hidden="1">
      <c r="A14" s="1069"/>
      <c r="B14" s="244"/>
      <c r="C14" s="430"/>
      <c r="D14" s="430"/>
      <c r="E14" s="430"/>
      <c r="F14" s="55"/>
      <c r="G14" s="55"/>
      <c r="H14" s="136">
        <f t="shared" si="0"/>
        <v>0</v>
      </c>
      <c r="I14" s="136">
        <f t="shared" si="1"/>
        <v>0</v>
      </c>
      <c r="J14" s="73"/>
    </row>
    <row r="15" spans="1:43" s="5" customFormat="1" hidden="1">
      <c r="A15" s="1069"/>
      <c r="B15" s="244"/>
      <c r="C15" s="383"/>
      <c r="D15" s="383"/>
      <c r="E15" s="430"/>
      <c r="F15" s="55"/>
      <c r="G15" s="55"/>
      <c r="H15" s="136">
        <f t="shared" si="0"/>
        <v>0</v>
      </c>
      <c r="I15" s="136">
        <f t="shared" si="1"/>
        <v>0</v>
      </c>
      <c r="J15" s="73"/>
    </row>
    <row r="16" spans="1:43" s="5" customFormat="1" hidden="1">
      <c r="A16" s="1069"/>
      <c r="B16" s="244"/>
      <c r="C16" s="383"/>
      <c r="D16" s="383"/>
      <c r="E16" s="430"/>
      <c r="F16" s="55"/>
      <c r="G16" s="55"/>
      <c r="H16" s="136">
        <f t="shared" si="0"/>
        <v>0</v>
      </c>
      <c r="I16" s="136">
        <f t="shared" si="1"/>
        <v>0</v>
      </c>
      <c r="J16" s="73"/>
    </row>
    <row r="17" spans="1:10" s="5" customFormat="1" hidden="1">
      <c r="A17" s="1069"/>
      <c r="B17" s="244"/>
      <c r="C17" s="383"/>
      <c r="D17" s="383"/>
      <c r="E17" s="430"/>
      <c r="F17" s="55"/>
      <c r="G17" s="55"/>
      <c r="H17" s="136">
        <f t="shared" si="0"/>
        <v>0</v>
      </c>
      <c r="I17" s="136">
        <f t="shared" si="1"/>
        <v>0</v>
      </c>
      <c r="J17" s="73"/>
    </row>
    <row r="18" spans="1:10" s="5" customFormat="1" hidden="1">
      <c r="A18" s="1069"/>
      <c r="B18" s="244"/>
      <c r="C18" s="383"/>
      <c r="D18" s="383"/>
      <c r="E18" s="430"/>
      <c r="F18" s="55"/>
      <c r="G18" s="55"/>
      <c r="H18" s="136">
        <f t="shared" si="0"/>
        <v>0</v>
      </c>
      <c r="I18" s="136">
        <f t="shared" si="1"/>
        <v>0</v>
      </c>
      <c r="J18" s="73"/>
    </row>
    <row r="19" spans="1:10" s="5" customFormat="1" hidden="1">
      <c r="A19" s="1069"/>
      <c r="B19" s="244"/>
      <c r="C19" s="383"/>
      <c r="D19" s="383"/>
      <c r="E19" s="430"/>
      <c r="F19" s="55"/>
      <c r="G19" s="55"/>
      <c r="H19" s="136">
        <f t="shared" si="0"/>
        <v>0</v>
      </c>
      <c r="I19" s="136">
        <f t="shared" si="1"/>
        <v>0</v>
      </c>
      <c r="J19" s="73"/>
    </row>
    <row r="20" spans="1:10" s="5" customFormat="1" hidden="1">
      <c r="A20" s="1069"/>
      <c r="B20" s="245"/>
      <c r="C20" s="430"/>
      <c r="D20" s="430"/>
      <c r="E20" s="430"/>
      <c r="F20" s="55"/>
      <c r="G20" s="55"/>
      <c r="H20" s="136">
        <f t="shared" si="0"/>
        <v>0</v>
      </c>
      <c r="I20" s="136">
        <f t="shared" si="1"/>
        <v>0</v>
      </c>
      <c r="J20" s="73"/>
    </row>
    <row r="21" spans="1:10" s="5" customFormat="1" hidden="1">
      <c r="A21" s="1069"/>
      <c r="B21" s="245"/>
      <c r="C21" s="430"/>
      <c r="D21" s="430"/>
      <c r="E21" s="430"/>
      <c r="F21" s="55"/>
      <c r="G21" s="55"/>
      <c r="H21" s="136">
        <f t="shared" si="0"/>
        <v>0</v>
      </c>
      <c r="I21" s="136">
        <f t="shared" si="1"/>
        <v>0</v>
      </c>
      <c r="J21" s="73"/>
    </row>
    <row r="22" spans="1:10" s="5" customFormat="1" hidden="1">
      <c r="A22" s="1069"/>
      <c r="B22" s="246"/>
      <c r="C22" s="431"/>
      <c r="D22" s="431"/>
      <c r="E22" s="432"/>
      <c r="F22" s="55"/>
      <c r="G22" s="55"/>
      <c r="H22" s="136">
        <f t="shared" si="0"/>
        <v>0</v>
      </c>
      <c r="I22" s="136">
        <f t="shared" si="1"/>
        <v>0</v>
      </c>
      <c r="J22" s="73"/>
    </row>
    <row r="23" spans="1:10" s="5" customFormat="1" hidden="1">
      <c r="A23" s="1069"/>
      <c r="B23" s="246"/>
      <c r="C23" s="431"/>
      <c r="D23" s="431"/>
      <c r="E23" s="431"/>
      <c r="F23" s="55"/>
      <c r="G23" s="55"/>
      <c r="H23" s="136">
        <f t="shared" si="0"/>
        <v>0</v>
      </c>
      <c r="I23" s="136">
        <f t="shared" si="1"/>
        <v>0</v>
      </c>
      <c r="J23" s="73"/>
    </row>
    <row r="24" spans="1:10" s="5" customFormat="1" hidden="1">
      <c r="A24" s="1069"/>
      <c r="B24" s="244"/>
      <c r="C24" s="383"/>
      <c r="D24" s="430"/>
      <c r="E24" s="430"/>
      <c r="F24" s="55"/>
      <c r="G24" s="55"/>
      <c r="H24" s="136">
        <f t="shared" si="0"/>
        <v>0</v>
      </c>
      <c r="I24" s="136">
        <f t="shared" si="1"/>
        <v>0</v>
      </c>
      <c r="J24" s="73"/>
    </row>
    <row r="25" spans="1:10" s="5" customFormat="1" hidden="1">
      <c r="A25" s="1069"/>
      <c r="B25" s="244"/>
      <c r="C25" s="383"/>
      <c r="D25" s="430"/>
      <c r="E25" s="430"/>
      <c r="F25" s="55"/>
      <c r="G25" s="55"/>
      <c r="H25" s="136">
        <f t="shared" si="0"/>
        <v>0</v>
      </c>
      <c r="I25" s="136">
        <f t="shared" si="1"/>
        <v>0</v>
      </c>
      <c r="J25" s="73"/>
    </row>
    <row r="26" spans="1:10" s="5" customFormat="1" hidden="1">
      <c r="A26" s="1069"/>
      <c r="B26" s="244"/>
      <c r="C26" s="383"/>
      <c r="D26" s="430"/>
      <c r="E26" s="430"/>
      <c r="F26" s="55"/>
      <c r="G26" s="55"/>
      <c r="H26" s="136">
        <f t="shared" si="0"/>
        <v>0</v>
      </c>
      <c r="I26" s="136">
        <f t="shared" si="1"/>
        <v>0</v>
      </c>
      <c r="J26" s="73"/>
    </row>
    <row r="27" spans="1:10" s="5" customFormat="1" hidden="1">
      <c r="A27" s="1069"/>
      <c r="B27" s="244"/>
      <c r="C27" s="430"/>
      <c r="D27" s="430"/>
      <c r="E27" s="430"/>
      <c r="F27" s="55"/>
      <c r="G27" s="55"/>
      <c r="H27" s="136">
        <f t="shared" si="0"/>
        <v>0</v>
      </c>
      <c r="I27" s="136">
        <f t="shared" si="1"/>
        <v>0</v>
      </c>
      <c r="J27" s="73"/>
    </row>
    <row r="28" spans="1:10" s="5" customFormat="1" hidden="1">
      <c r="A28" s="1069"/>
      <c r="B28" s="244"/>
      <c r="C28" s="430"/>
      <c r="D28" s="430"/>
      <c r="E28" s="430"/>
      <c r="F28" s="55"/>
      <c r="G28" s="55"/>
      <c r="H28" s="136">
        <f t="shared" si="0"/>
        <v>0</v>
      </c>
      <c r="I28" s="136">
        <f t="shared" si="1"/>
        <v>0</v>
      </c>
      <c r="J28" s="73"/>
    </row>
    <row r="29" spans="1:10" s="5" customFormat="1" hidden="1">
      <c r="A29" s="1069"/>
      <c r="B29" s="244"/>
      <c r="C29" s="430"/>
      <c r="D29" s="430"/>
      <c r="E29" s="430"/>
      <c r="F29" s="55"/>
      <c r="G29" s="55"/>
      <c r="H29" s="136">
        <f t="shared" si="0"/>
        <v>0</v>
      </c>
      <c r="I29" s="136">
        <f t="shared" si="1"/>
        <v>0</v>
      </c>
      <c r="J29" s="73"/>
    </row>
    <row r="30" spans="1:10" s="5" customFormat="1" hidden="1">
      <c r="A30" s="1069"/>
      <c r="B30" s="244"/>
      <c r="C30" s="383"/>
      <c r="D30" s="383"/>
      <c r="E30" s="430"/>
      <c r="F30" s="55"/>
      <c r="G30" s="55"/>
      <c r="H30" s="136">
        <f t="shared" si="0"/>
        <v>0</v>
      </c>
      <c r="I30" s="136">
        <f t="shared" si="1"/>
        <v>0</v>
      </c>
      <c r="J30" s="73"/>
    </row>
    <row r="31" spans="1:10" s="5" customFormat="1" hidden="1">
      <c r="A31" s="1069"/>
      <c r="B31" s="244"/>
      <c r="C31" s="383"/>
      <c r="D31" s="383"/>
      <c r="E31" s="430"/>
      <c r="F31" s="55"/>
      <c r="G31" s="55"/>
      <c r="H31" s="136">
        <f t="shared" si="0"/>
        <v>0</v>
      </c>
      <c r="I31" s="136">
        <f t="shared" si="1"/>
        <v>0</v>
      </c>
      <c r="J31" s="73"/>
    </row>
    <row r="32" spans="1:10" s="5" customFormat="1" hidden="1">
      <c r="A32" s="1069"/>
      <c r="B32" s="244"/>
      <c r="C32" s="383"/>
      <c r="D32" s="383"/>
      <c r="E32" s="430"/>
      <c r="F32" s="55"/>
      <c r="G32" s="55"/>
      <c r="H32" s="136">
        <f t="shared" si="0"/>
        <v>0</v>
      </c>
      <c r="I32" s="136">
        <f t="shared" si="1"/>
        <v>0</v>
      </c>
      <c r="J32" s="73"/>
    </row>
    <row r="33" spans="1:10" s="5" customFormat="1" hidden="1">
      <c r="A33" s="1069"/>
      <c r="B33" s="244"/>
      <c r="C33" s="383"/>
      <c r="D33" s="383"/>
      <c r="E33" s="430"/>
      <c r="F33" s="55"/>
      <c r="G33" s="55"/>
      <c r="H33" s="136">
        <f t="shared" si="0"/>
        <v>0</v>
      </c>
      <c r="I33" s="136">
        <f t="shared" si="1"/>
        <v>0</v>
      </c>
      <c r="J33" s="73"/>
    </row>
    <row r="34" spans="1:10" s="5" customFormat="1" hidden="1">
      <c r="A34" s="1069"/>
      <c r="B34" s="244"/>
      <c r="C34" s="383"/>
      <c r="D34" s="383"/>
      <c r="E34" s="430"/>
      <c r="F34" s="55"/>
      <c r="G34" s="55"/>
      <c r="H34" s="136">
        <f t="shared" si="0"/>
        <v>0</v>
      </c>
      <c r="I34" s="136">
        <f t="shared" si="1"/>
        <v>0</v>
      </c>
      <c r="J34" s="73"/>
    </row>
    <row r="35" spans="1:10" s="5" customFormat="1" hidden="1">
      <c r="A35" s="1069"/>
      <c r="B35" s="244"/>
      <c r="C35" s="383"/>
      <c r="D35" s="383"/>
      <c r="E35" s="430"/>
      <c r="F35" s="55"/>
      <c r="G35" s="55"/>
      <c r="H35" s="136">
        <f t="shared" si="0"/>
        <v>0</v>
      </c>
      <c r="I35" s="136">
        <f t="shared" si="1"/>
        <v>0</v>
      </c>
      <c r="J35" s="73"/>
    </row>
    <row r="36" spans="1:10" s="5" customFormat="1" hidden="1">
      <c r="A36" s="1069"/>
      <c r="B36" s="244"/>
      <c r="C36" s="383"/>
      <c r="D36" s="383"/>
      <c r="E36" s="430"/>
      <c r="F36" s="55"/>
      <c r="G36" s="55"/>
      <c r="H36" s="136">
        <f t="shared" si="0"/>
        <v>0</v>
      </c>
      <c r="I36" s="136">
        <f t="shared" si="1"/>
        <v>0</v>
      </c>
      <c r="J36" s="73"/>
    </row>
    <row r="37" spans="1:10" s="5" customFormat="1" hidden="1">
      <c r="A37" s="1069"/>
      <c r="B37" s="244"/>
      <c r="C37" s="383"/>
      <c r="D37" s="383"/>
      <c r="E37" s="430"/>
      <c r="F37" s="55"/>
      <c r="G37" s="55"/>
      <c r="H37" s="136">
        <f t="shared" si="0"/>
        <v>0</v>
      </c>
      <c r="I37" s="136">
        <f t="shared" si="1"/>
        <v>0</v>
      </c>
      <c r="J37" s="73"/>
    </row>
    <row r="38" spans="1:10" s="5" customFormat="1" hidden="1">
      <c r="A38" s="1069"/>
      <c r="B38" s="244"/>
      <c r="C38" s="383"/>
      <c r="D38" s="383"/>
      <c r="E38" s="430"/>
      <c r="F38" s="55"/>
      <c r="G38" s="55"/>
      <c r="H38" s="136">
        <f t="shared" si="0"/>
        <v>0</v>
      </c>
      <c r="I38" s="136">
        <f t="shared" si="1"/>
        <v>0</v>
      </c>
      <c r="J38" s="73"/>
    </row>
    <row r="39" spans="1:10" s="5" customFormat="1" hidden="1">
      <c r="A39" s="1069"/>
      <c r="B39" s="244"/>
      <c r="C39" s="383"/>
      <c r="D39" s="383"/>
      <c r="E39" s="430"/>
      <c r="F39" s="55"/>
      <c r="G39" s="55"/>
      <c r="H39" s="136">
        <f t="shared" si="0"/>
        <v>0</v>
      </c>
      <c r="I39" s="136">
        <f t="shared" si="1"/>
        <v>0</v>
      </c>
      <c r="J39" s="73"/>
    </row>
    <row r="40" spans="1:10" s="5" customFormat="1" hidden="1">
      <c r="A40" s="1069"/>
      <c r="B40" s="244"/>
      <c r="C40" s="383"/>
      <c r="D40" s="383"/>
      <c r="E40" s="430"/>
      <c r="F40" s="55"/>
      <c r="G40" s="55"/>
      <c r="H40" s="136">
        <f t="shared" si="0"/>
        <v>0</v>
      </c>
      <c r="I40" s="136">
        <f t="shared" si="1"/>
        <v>0</v>
      </c>
      <c r="J40" s="73"/>
    </row>
    <row r="41" spans="1:10" s="5" customFormat="1" hidden="1">
      <c r="A41" s="1069"/>
      <c r="B41" s="244"/>
      <c r="C41" s="383"/>
      <c r="D41" s="383"/>
      <c r="E41" s="383"/>
      <c r="F41" s="55"/>
      <c r="G41" s="55"/>
      <c r="H41" s="136">
        <f t="shared" si="0"/>
        <v>0</v>
      </c>
      <c r="I41" s="136">
        <f t="shared" si="1"/>
        <v>0</v>
      </c>
      <c r="J41" s="73"/>
    </row>
    <row r="42" spans="1:10" s="5" customFormat="1" hidden="1">
      <c r="A42" s="1069"/>
      <c r="B42" s="244"/>
      <c r="C42" s="383"/>
      <c r="D42" s="383"/>
      <c r="E42" s="383"/>
      <c r="F42" s="55"/>
      <c r="G42" s="55"/>
      <c r="H42" s="136">
        <f t="shared" si="0"/>
        <v>0</v>
      </c>
      <c r="I42" s="136">
        <f t="shared" si="1"/>
        <v>0</v>
      </c>
      <c r="J42" s="73"/>
    </row>
    <row r="43" spans="1:10" s="5" customFormat="1" hidden="1">
      <c r="A43" s="1069"/>
      <c r="B43" s="244"/>
      <c r="C43" s="383"/>
      <c r="D43" s="383"/>
      <c r="E43" s="383"/>
      <c r="F43" s="55"/>
      <c r="G43" s="55"/>
      <c r="H43" s="136">
        <f t="shared" si="0"/>
        <v>0</v>
      </c>
      <c r="I43" s="136">
        <f t="shared" si="1"/>
        <v>0</v>
      </c>
      <c r="J43" s="73"/>
    </row>
    <row r="44" spans="1:10" s="5" customFormat="1" hidden="1">
      <c r="A44" s="1069"/>
      <c r="B44" s="244"/>
      <c r="C44" s="383"/>
      <c r="D44" s="383"/>
      <c r="E44" s="383"/>
      <c r="F44" s="55"/>
      <c r="G44" s="55"/>
      <c r="H44" s="136">
        <f t="shared" si="0"/>
        <v>0</v>
      </c>
      <c r="I44" s="136">
        <f t="shared" si="1"/>
        <v>0</v>
      </c>
      <c r="J44" s="73"/>
    </row>
    <row r="45" spans="1:10" s="5" customFormat="1" hidden="1">
      <c r="A45" s="1069"/>
      <c r="B45" s="244"/>
      <c r="C45" s="383"/>
      <c r="D45" s="383"/>
      <c r="E45" s="430"/>
      <c r="F45" s="55"/>
      <c r="G45" s="55"/>
      <c r="H45" s="136">
        <f t="shared" si="0"/>
        <v>0</v>
      </c>
      <c r="I45" s="136">
        <f t="shared" si="1"/>
        <v>0</v>
      </c>
      <c r="J45" s="73"/>
    </row>
    <row r="46" spans="1:10" s="5" customFormat="1" hidden="1">
      <c r="A46" s="1069"/>
      <c r="B46" s="244"/>
      <c r="C46" s="430"/>
      <c r="D46" s="430"/>
      <c r="E46" s="430"/>
      <c r="F46" s="55"/>
      <c r="G46" s="55"/>
      <c r="H46" s="136">
        <f t="shared" si="0"/>
        <v>0</v>
      </c>
      <c r="I46" s="136">
        <f t="shared" si="1"/>
        <v>0</v>
      </c>
      <c r="J46" s="73"/>
    </row>
    <row r="47" spans="1:10" s="5" customFormat="1" hidden="1">
      <c r="A47" s="1069"/>
      <c r="B47" s="244"/>
      <c r="C47" s="383"/>
      <c r="D47" s="383"/>
      <c r="E47" s="430"/>
      <c r="F47" s="55"/>
      <c r="G47" s="55"/>
      <c r="H47" s="136">
        <f t="shared" si="0"/>
        <v>0</v>
      </c>
      <c r="I47" s="136">
        <f t="shared" si="1"/>
        <v>0</v>
      </c>
      <c r="J47" s="73"/>
    </row>
    <row r="48" spans="1:10" s="5" customFormat="1" hidden="1">
      <c r="A48" s="1069"/>
      <c r="B48" s="244"/>
      <c r="C48" s="383"/>
      <c r="D48" s="383"/>
      <c r="E48" s="430"/>
      <c r="F48" s="55"/>
      <c r="G48" s="55"/>
      <c r="H48" s="136">
        <f t="shared" si="0"/>
        <v>0</v>
      </c>
      <c r="I48" s="136">
        <f t="shared" si="1"/>
        <v>0</v>
      </c>
      <c r="J48" s="73"/>
    </row>
    <row r="49" spans="1:10" s="5" customFormat="1" hidden="1">
      <c r="A49" s="1069"/>
      <c r="B49" s="244"/>
      <c r="C49" s="383"/>
      <c r="D49" s="383"/>
      <c r="E49" s="430"/>
      <c r="F49" s="55"/>
      <c r="G49" s="55"/>
      <c r="H49" s="136">
        <f t="shared" si="0"/>
        <v>0</v>
      </c>
      <c r="I49" s="136">
        <f t="shared" si="1"/>
        <v>0</v>
      </c>
      <c r="J49" s="73"/>
    </row>
    <row r="50" spans="1:10" s="5" customFormat="1" hidden="1">
      <c r="A50" s="1069"/>
      <c r="B50" s="244"/>
      <c r="C50" s="383"/>
      <c r="D50" s="383"/>
      <c r="E50" s="430"/>
      <c r="F50" s="55"/>
      <c r="G50" s="55"/>
      <c r="H50" s="136">
        <f t="shared" si="0"/>
        <v>0</v>
      </c>
      <c r="I50" s="136">
        <f t="shared" si="1"/>
        <v>0</v>
      </c>
      <c r="J50" s="73"/>
    </row>
    <row r="51" spans="1:10" s="5" customFormat="1" hidden="1">
      <c r="A51" s="1069"/>
      <c r="B51" s="244"/>
      <c r="C51" s="430"/>
      <c r="D51" s="430"/>
      <c r="E51" s="430"/>
      <c r="F51" s="55"/>
      <c r="G51" s="55"/>
      <c r="H51" s="136">
        <f t="shared" si="0"/>
        <v>0</v>
      </c>
      <c r="I51" s="136">
        <f t="shared" si="1"/>
        <v>0</v>
      </c>
      <c r="J51" s="73"/>
    </row>
    <row r="52" spans="1:10" s="5" customFormat="1" hidden="1">
      <c r="A52" s="1069"/>
      <c r="B52" s="244"/>
      <c r="C52" s="430"/>
      <c r="D52" s="430"/>
      <c r="E52" s="430"/>
      <c r="F52" s="55"/>
      <c r="G52" s="55"/>
      <c r="H52" s="136">
        <f t="shared" si="0"/>
        <v>0</v>
      </c>
      <c r="I52" s="136">
        <f t="shared" si="1"/>
        <v>0</v>
      </c>
      <c r="J52" s="73"/>
    </row>
    <row r="53" spans="1:10" s="5" customFormat="1" hidden="1">
      <c r="A53" s="1069"/>
      <c r="B53" s="244"/>
      <c r="C53" s="430"/>
      <c r="D53" s="430"/>
      <c r="E53" s="430"/>
      <c r="F53" s="55"/>
      <c r="G53" s="55"/>
      <c r="H53" s="136">
        <f t="shared" si="0"/>
        <v>0</v>
      </c>
      <c r="I53" s="136">
        <f t="shared" si="1"/>
        <v>0</v>
      </c>
      <c r="J53" s="73"/>
    </row>
    <row r="54" spans="1:10" s="5" customFormat="1" hidden="1">
      <c r="A54" s="1069"/>
      <c r="B54" s="244"/>
      <c r="C54" s="430"/>
      <c r="D54" s="430"/>
      <c r="E54" s="430"/>
      <c r="F54" s="55"/>
      <c r="G54" s="55"/>
      <c r="H54" s="136">
        <f t="shared" si="0"/>
        <v>0</v>
      </c>
      <c r="I54" s="136">
        <f t="shared" si="1"/>
        <v>0</v>
      </c>
      <c r="J54" s="73"/>
    </row>
    <row r="55" spans="1:10" s="5" customFormat="1" hidden="1">
      <c r="A55" s="1069"/>
      <c r="B55" s="244"/>
      <c r="C55" s="430"/>
      <c r="D55" s="430"/>
      <c r="E55" s="430"/>
      <c r="F55" s="55"/>
      <c r="G55" s="55"/>
      <c r="H55" s="136">
        <f t="shared" si="0"/>
        <v>0</v>
      </c>
      <c r="I55" s="136">
        <f t="shared" si="1"/>
        <v>0</v>
      </c>
      <c r="J55" s="73"/>
    </row>
    <row r="56" spans="1:10" s="5" customFormat="1" hidden="1">
      <c r="A56" s="1069"/>
      <c r="B56" s="244"/>
      <c r="C56" s="383"/>
      <c r="D56" s="383"/>
      <c r="E56" s="383"/>
      <c r="F56" s="55"/>
      <c r="G56" s="55"/>
      <c r="H56" s="136">
        <f t="shared" si="0"/>
        <v>0</v>
      </c>
      <c r="I56" s="136">
        <f t="shared" si="1"/>
        <v>0</v>
      </c>
      <c r="J56" s="73"/>
    </row>
    <row r="57" spans="1:10" s="5" customFormat="1" hidden="1">
      <c r="A57" s="1069"/>
      <c r="B57" s="244"/>
      <c r="C57" s="383"/>
      <c r="D57" s="383"/>
      <c r="E57" s="430"/>
      <c r="F57" s="55"/>
      <c r="G57" s="55"/>
      <c r="H57" s="136">
        <f t="shared" si="0"/>
        <v>0</v>
      </c>
      <c r="I57" s="136">
        <f t="shared" si="1"/>
        <v>0</v>
      </c>
      <c r="J57" s="73"/>
    </row>
    <row r="58" spans="1:10" s="5" customFormat="1" hidden="1">
      <c r="A58" s="1069"/>
      <c r="B58" s="244"/>
      <c r="C58" s="383"/>
      <c r="D58" s="383"/>
      <c r="E58" s="433"/>
      <c r="F58" s="55"/>
      <c r="G58" s="55"/>
      <c r="H58" s="136">
        <f t="shared" si="0"/>
        <v>0</v>
      </c>
      <c r="I58" s="136">
        <f t="shared" si="1"/>
        <v>0</v>
      </c>
      <c r="J58" s="73"/>
    </row>
    <row r="59" spans="1:10" s="5" customFormat="1" hidden="1">
      <c r="A59" s="1069"/>
      <c r="B59" s="244"/>
      <c r="C59" s="383"/>
      <c r="D59" s="383"/>
      <c r="E59" s="433"/>
      <c r="F59" s="55"/>
      <c r="G59" s="55"/>
      <c r="H59" s="136">
        <f t="shared" si="0"/>
        <v>0</v>
      </c>
      <c r="I59" s="136">
        <f t="shared" si="1"/>
        <v>0</v>
      </c>
      <c r="J59" s="73"/>
    </row>
    <row r="60" spans="1:10" s="5" customFormat="1" hidden="1">
      <c r="A60" s="1069"/>
      <c r="B60" s="246"/>
      <c r="C60" s="431"/>
      <c r="D60" s="431"/>
      <c r="E60" s="432"/>
      <c r="F60" s="55"/>
      <c r="G60" s="55"/>
      <c r="H60" s="136">
        <f t="shared" si="0"/>
        <v>0</v>
      </c>
      <c r="I60" s="136">
        <f t="shared" si="1"/>
        <v>0</v>
      </c>
      <c r="J60" s="73"/>
    </row>
    <row r="61" spans="1:10" s="5" customFormat="1" hidden="1">
      <c r="A61" s="1069"/>
      <c r="B61" s="246"/>
      <c r="C61" s="431"/>
      <c r="D61" s="431"/>
      <c r="E61" s="432"/>
      <c r="F61" s="55"/>
      <c r="G61" s="55"/>
      <c r="H61" s="136">
        <f t="shared" si="0"/>
        <v>0</v>
      </c>
      <c r="I61" s="136">
        <f t="shared" si="1"/>
        <v>0</v>
      </c>
      <c r="J61" s="73"/>
    </row>
    <row r="62" spans="1:10" s="5" customFormat="1" hidden="1">
      <c r="A62" s="1069"/>
      <c r="B62" s="246"/>
      <c r="C62" s="431"/>
      <c r="D62" s="431"/>
      <c r="E62" s="432"/>
      <c r="F62" s="55"/>
      <c r="G62" s="55"/>
      <c r="H62" s="136">
        <f t="shared" si="0"/>
        <v>0</v>
      </c>
      <c r="I62" s="136">
        <f t="shared" si="1"/>
        <v>0</v>
      </c>
      <c r="J62" s="73"/>
    </row>
    <row r="63" spans="1:10" s="5" customFormat="1" hidden="1">
      <c r="A63" s="1069"/>
      <c r="B63" s="246"/>
      <c r="C63" s="431"/>
      <c r="D63" s="431"/>
      <c r="E63" s="432"/>
      <c r="F63" s="55"/>
      <c r="G63" s="55"/>
      <c r="H63" s="136">
        <f t="shared" si="0"/>
        <v>0</v>
      </c>
      <c r="I63" s="136">
        <f t="shared" si="1"/>
        <v>0</v>
      </c>
      <c r="J63" s="73"/>
    </row>
    <row r="64" spans="1:10" s="5" customFormat="1" hidden="1">
      <c r="A64" s="1069"/>
      <c r="B64" s="246"/>
      <c r="C64" s="431"/>
      <c r="D64" s="431"/>
      <c r="E64" s="432"/>
      <c r="F64" s="55"/>
      <c r="G64" s="55"/>
      <c r="H64" s="136">
        <f t="shared" si="0"/>
        <v>0</v>
      </c>
      <c r="I64" s="136">
        <f t="shared" si="1"/>
        <v>0</v>
      </c>
      <c r="J64" s="73"/>
    </row>
    <row r="65" spans="1:10" s="5" customFormat="1" hidden="1">
      <c r="A65" s="1069"/>
      <c r="B65" s="246"/>
      <c r="C65" s="431"/>
      <c r="D65" s="431"/>
      <c r="E65" s="432"/>
      <c r="F65" s="55"/>
      <c r="G65" s="55"/>
      <c r="H65" s="136">
        <f t="shared" si="0"/>
        <v>0</v>
      </c>
      <c r="I65" s="136">
        <f t="shared" si="1"/>
        <v>0</v>
      </c>
      <c r="J65" s="73"/>
    </row>
    <row r="66" spans="1:10" s="5" customFormat="1" hidden="1">
      <c r="A66" s="1069"/>
      <c r="B66" s="246"/>
      <c r="C66" s="431"/>
      <c r="D66" s="431"/>
      <c r="E66" s="432"/>
      <c r="F66" s="55"/>
      <c r="G66" s="55"/>
      <c r="H66" s="136">
        <f t="shared" si="0"/>
        <v>0</v>
      </c>
      <c r="I66" s="136">
        <f t="shared" si="1"/>
        <v>0</v>
      </c>
      <c r="J66" s="73"/>
    </row>
    <row r="67" spans="1:10" s="5" customFormat="1" hidden="1">
      <c r="A67" s="1069"/>
      <c r="B67" s="246"/>
      <c r="C67" s="431"/>
      <c r="D67" s="431"/>
      <c r="E67" s="432"/>
      <c r="F67" s="55"/>
      <c r="G67" s="55"/>
      <c r="H67" s="136">
        <f t="shared" si="0"/>
        <v>0</v>
      </c>
      <c r="I67" s="136">
        <f t="shared" si="1"/>
        <v>0</v>
      </c>
      <c r="J67" s="73"/>
    </row>
    <row r="68" spans="1:10" s="5" customFormat="1" hidden="1">
      <c r="A68" s="1069"/>
      <c r="B68" s="246"/>
      <c r="C68" s="431"/>
      <c r="D68" s="431"/>
      <c r="E68" s="432"/>
      <c r="F68" s="55"/>
      <c r="G68" s="55"/>
      <c r="H68" s="136">
        <f t="shared" si="0"/>
        <v>0</v>
      </c>
      <c r="I68" s="136">
        <f t="shared" si="1"/>
        <v>0</v>
      </c>
      <c r="J68" s="73"/>
    </row>
    <row r="69" spans="1:10" s="5" customFormat="1" hidden="1">
      <c r="A69" s="1069"/>
      <c r="B69" s="246"/>
      <c r="C69" s="434"/>
      <c r="D69" s="434"/>
      <c r="E69" s="435"/>
      <c r="F69" s="55"/>
      <c r="G69" s="55"/>
      <c r="H69" s="136">
        <f t="shared" si="0"/>
        <v>0</v>
      </c>
      <c r="I69" s="136">
        <f t="shared" si="1"/>
        <v>0</v>
      </c>
      <c r="J69" s="73"/>
    </row>
    <row r="70" spans="1:10" s="5" customFormat="1" hidden="1">
      <c r="A70" s="1069"/>
      <c r="B70" s="246"/>
      <c r="C70" s="434"/>
      <c r="D70" s="434"/>
      <c r="E70" s="435"/>
      <c r="F70" s="55"/>
      <c r="G70" s="55"/>
      <c r="H70" s="136">
        <f t="shared" si="0"/>
        <v>0</v>
      </c>
      <c r="I70" s="136">
        <f t="shared" si="1"/>
        <v>0</v>
      </c>
      <c r="J70" s="73"/>
    </row>
    <row r="71" spans="1:10" s="5" customFormat="1" hidden="1">
      <c r="A71" s="1069"/>
      <c r="B71" s="246"/>
      <c r="C71" s="434"/>
      <c r="D71" s="434"/>
      <c r="E71" s="435"/>
      <c r="F71" s="55"/>
      <c r="G71" s="55"/>
      <c r="H71" s="136">
        <f t="shared" si="0"/>
        <v>0</v>
      </c>
      <c r="I71" s="136">
        <f t="shared" si="1"/>
        <v>0</v>
      </c>
      <c r="J71" s="73"/>
    </row>
    <row r="72" spans="1:10" s="5" customFormat="1" hidden="1">
      <c r="A72" s="1069"/>
      <c r="B72" s="244"/>
      <c r="C72" s="434"/>
      <c r="D72" s="434"/>
      <c r="E72" s="436"/>
      <c r="F72" s="55"/>
      <c r="G72" s="55"/>
      <c r="H72" s="136">
        <f t="shared" si="0"/>
        <v>0</v>
      </c>
      <c r="I72" s="136">
        <f t="shared" si="1"/>
        <v>0</v>
      </c>
      <c r="J72" s="73"/>
    </row>
    <row r="73" spans="1:10" s="5" customFormat="1" hidden="1">
      <c r="A73" s="1069"/>
      <c r="B73" s="244"/>
      <c r="C73" s="434"/>
      <c r="D73" s="434"/>
      <c r="E73" s="436"/>
      <c r="F73" s="55"/>
      <c r="G73" s="55"/>
      <c r="H73" s="136">
        <f t="shared" ref="H73:H136" si="2">E73+D73-C73</f>
        <v>0</v>
      </c>
      <c r="I73" s="136">
        <f t="shared" ref="I73:I136" si="3">SUM(C73:E73)</f>
        <v>0</v>
      </c>
      <c r="J73" s="73"/>
    </row>
    <row r="74" spans="1:10" s="5" customFormat="1" hidden="1">
      <c r="A74" s="1069"/>
      <c r="B74" s="244"/>
      <c r="C74" s="434"/>
      <c r="D74" s="434"/>
      <c r="E74" s="436"/>
      <c r="F74" s="55"/>
      <c r="G74" s="55"/>
      <c r="H74" s="136">
        <f t="shared" si="2"/>
        <v>0</v>
      </c>
      <c r="I74" s="136">
        <f t="shared" si="3"/>
        <v>0</v>
      </c>
      <c r="J74" s="73"/>
    </row>
    <row r="75" spans="1:10" s="5" customFormat="1" hidden="1">
      <c r="A75" s="1069"/>
      <c r="B75" s="246"/>
      <c r="C75" s="434"/>
      <c r="D75" s="434"/>
      <c r="E75" s="435"/>
      <c r="F75" s="55"/>
      <c r="G75" s="55"/>
      <c r="H75" s="136">
        <f t="shared" si="2"/>
        <v>0</v>
      </c>
      <c r="I75" s="136">
        <f t="shared" si="3"/>
        <v>0</v>
      </c>
      <c r="J75" s="73"/>
    </row>
    <row r="76" spans="1:10" s="5" customFormat="1" hidden="1">
      <c r="A76" s="1069"/>
      <c r="B76" s="246"/>
      <c r="C76" s="434"/>
      <c r="D76" s="434"/>
      <c r="E76" s="435"/>
      <c r="F76" s="55"/>
      <c r="G76" s="55"/>
      <c r="H76" s="136">
        <f t="shared" si="2"/>
        <v>0</v>
      </c>
      <c r="I76" s="136">
        <f t="shared" si="3"/>
        <v>0</v>
      </c>
      <c r="J76" s="73"/>
    </row>
    <row r="77" spans="1:10" s="5" customFormat="1" hidden="1">
      <c r="A77" s="1069"/>
      <c r="B77" s="246"/>
      <c r="C77" s="434"/>
      <c r="D77" s="434"/>
      <c r="E77" s="435"/>
      <c r="F77" s="55"/>
      <c r="G77" s="55"/>
      <c r="H77" s="136">
        <f t="shared" si="2"/>
        <v>0</v>
      </c>
      <c r="I77" s="136">
        <f t="shared" si="3"/>
        <v>0</v>
      </c>
      <c r="J77" s="73"/>
    </row>
    <row r="78" spans="1:10" s="5" customFormat="1" hidden="1">
      <c r="A78" s="1069"/>
      <c r="B78" s="246"/>
      <c r="C78" s="434"/>
      <c r="D78" s="434"/>
      <c r="E78" s="435"/>
      <c r="F78" s="55"/>
      <c r="G78" s="55"/>
      <c r="H78" s="136">
        <f t="shared" si="2"/>
        <v>0</v>
      </c>
      <c r="I78" s="136">
        <f t="shared" si="3"/>
        <v>0</v>
      </c>
      <c r="J78" s="73"/>
    </row>
    <row r="79" spans="1:10" s="5" customFormat="1" hidden="1">
      <c r="A79" s="1069"/>
      <c r="B79" s="246"/>
      <c r="C79" s="434"/>
      <c r="D79" s="434"/>
      <c r="E79" s="435"/>
      <c r="F79" s="55"/>
      <c r="G79" s="55"/>
      <c r="H79" s="136">
        <f t="shared" si="2"/>
        <v>0</v>
      </c>
      <c r="I79" s="136">
        <f t="shared" si="3"/>
        <v>0</v>
      </c>
      <c r="J79" s="73"/>
    </row>
    <row r="80" spans="1:10" s="5" customFormat="1" hidden="1">
      <c r="A80" s="1069"/>
      <c r="B80" s="246"/>
      <c r="C80" s="434"/>
      <c r="D80" s="434"/>
      <c r="E80" s="435"/>
      <c r="F80" s="55"/>
      <c r="G80" s="55"/>
      <c r="H80" s="136">
        <f t="shared" si="2"/>
        <v>0</v>
      </c>
      <c r="I80" s="136">
        <f t="shared" si="3"/>
        <v>0</v>
      </c>
      <c r="J80" s="73"/>
    </row>
    <row r="81" spans="1:10" s="5" customFormat="1" hidden="1">
      <c r="A81" s="1069"/>
      <c r="B81" s="246"/>
      <c r="C81" s="434"/>
      <c r="D81" s="434"/>
      <c r="E81" s="435"/>
      <c r="F81" s="55"/>
      <c r="G81" s="55"/>
      <c r="H81" s="136">
        <f t="shared" si="2"/>
        <v>0</v>
      </c>
      <c r="I81" s="136">
        <f t="shared" si="3"/>
        <v>0</v>
      </c>
      <c r="J81" s="73"/>
    </row>
    <row r="82" spans="1:10" s="5" customFormat="1" hidden="1">
      <c r="A82" s="1069"/>
      <c r="B82" s="246"/>
      <c r="C82" s="434"/>
      <c r="D82" s="434"/>
      <c r="E82" s="435"/>
      <c r="F82" s="55"/>
      <c r="G82" s="55"/>
      <c r="H82" s="136">
        <f t="shared" si="2"/>
        <v>0</v>
      </c>
      <c r="I82" s="136">
        <f t="shared" si="3"/>
        <v>0</v>
      </c>
      <c r="J82" s="73"/>
    </row>
    <row r="83" spans="1:10" s="5" customFormat="1" hidden="1">
      <c r="A83" s="1069"/>
      <c r="B83" s="246"/>
      <c r="C83" s="434"/>
      <c r="D83" s="434"/>
      <c r="E83" s="435"/>
      <c r="F83" s="55"/>
      <c r="G83" s="55"/>
      <c r="H83" s="136">
        <f t="shared" si="2"/>
        <v>0</v>
      </c>
      <c r="I83" s="136">
        <f t="shared" si="3"/>
        <v>0</v>
      </c>
      <c r="J83" s="73"/>
    </row>
    <row r="84" spans="1:10" s="5" customFormat="1" hidden="1">
      <c r="A84" s="1069"/>
      <c r="B84" s="246"/>
      <c r="C84" s="434"/>
      <c r="D84" s="434"/>
      <c r="E84" s="435"/>
      <c r="F84" s="55"/>
      <c r="G84" s="55"/>
      <c r="H84" s="136">
        <f t="shared" si="2"/>
        <v>0</v>
      </c>
      <c r="I84" s="136">
        <f t="shared" si="3"/>
        <v>0</v>
      </c>
      <c r="J84" s="73"/>
    </row>
    <row r="85" spans="1:10" s="5" customFormat="1" hidden="1">
      <c r="A85" s="1069"/>
      <c r="B85" s="246"/>
      <c r="C85" s="434"/>
      <c r="D85" s="434"/>
      <c r="E85" s="435"/>
      <c r="F85" s="55"/>
      <c r="G85" s="55"/>
      <c r="H85" s="136">
        <f t="shared" si="2"/>
        <v>0</v>
      </c>
      <c r="I85" s="136">
        <f t="shared" si="3"/>
        <v>0</v>
      </c>
      <c r="J85" s="73"/>
    </row>
    <row r="86" spans="1:10" s="5" customFormat="1" hidden="1">
      <c r="A86" s="1069"/>
      <c r="B86" s="246"/>
      <c r="C86" s="434"/>
      <c r="D86" s="434"/>
      <c r="E86" s="435"/>
      <c r="F86" s="55"/>
      <c r="G86" s="55"/>
      <c r="H86" s="136">
        <f t="shared" si="2"/>
        <v>0</v>
      </c>
      <c r="I86" s="136">
        <f t="shared" si="3"/>
        <v>0</v>
      </c>
      <c r="J86" s="73"/>
    </row>
    <row r="87" spans="1:10" s="5" customFormat="1" hidden="1">
      <c r="A87" s="1069"/>
      <c r="B87" s="244"/>
      <c r="C87" s="434"/>
      <c r="D87" s="434"/>
      <c r="E87" s="436"/>
      <c r="F87" s="55"/>
      <c r="G87" s="55"/>
      <c r="H87" s="136">
        <f t="shared" si="2"/>
        <v>0</v>
      </c>
      <c r="I87" s="136">
        <f t="shared" si="3"/>
        <v>0</v>
      </c>
      <c r="J87" s="73"/>
    </row>
    <row r="88" spans="1:10" s="5" customFormat="1" hidden="1">
      <c r="A88" s="1069"/>
      <c r="B88" s="246"/>
      <c r="C88" s="431"/>
      <c r="D88" s="431"/>
      <c r="E88" s="432"/>
      <c r="F88" s="55"/>
      <c r="G88" s="55"/>
      <c r="H88" s="136">
        <f t="shared" si="2"/>
        <v>0</v>
      </c>
      <c r="I88" s="136">
        <f t="shared" si="3"/>
        <v>0</v>
      </c>
      <c r="J88" s="73"/>
    </row>
    <row r="89" spans="1:10" s="5" customFormat="1" hidden="1">
      <c r="A89" s="1069"/>
      <c r="B89" s="246"/>
      <c r="C89" s="431"/>
      <c r="D89" s="431"/>
      <c r="E89" s="432"/>
      <c r="F89" s="55"/>
      <c r="G89" s="55"/>
      <c r="H89" s="136">
        <f t="shared" si="2"/>
        <v>0</v>
      </c>
      <c r="I89" s="136">
        <f t="shared" si="3"/>
        <v>0</v>
      </c>
      <c r="J89" s="73"/>
    </row>
    <row r="90" spans="1:10" s="5" customFormat="1" hidden="1">
      <c r="A90" s="1069"/>
      <c r="B90" s="246"/>
      <c r="C90" s="431"/>
      <c r="D90" s="431"/>
      <c r="E90" s="432"/>
      <c r="F90" s="55"/>
      <c r="G90" s="55"/>
      <c r="H90" s="136">
        <f t="shared" si="2"/>
        <v>0</v>
      </c>
      <c r="I90" s="136">
        <f t="shared" si="3"/>
        <v>0</v>
      </c>
      <c r="J90" s="73"/>
    </row>
    <row r="91" spans="1:10" s="5" customFormat="1" hidden="1">
      <c r="A91" s="1069"/>
      <c r="B91" s="246"/>
      <c r="C91" s="431"/>
      <c r="D91" s="431"/>
      <c r="E91" s="432"/>
      <c r="F91" s="55"/>
      <c r="G91" s="55"/>
      <c r="H91" s="136">
        <f t="shared" si="2"/>
        <v>0</v>
      </c>
      <c r="I91" s="136">
        <f t="shared" si="3"/>
        <v>0</v>
      </c>
      <c r="J91" s="73"/>
    </row>
    <row r="92" spans="1:10" s="5" customFormat="1" hidden="1">
      <c r="A92" s="1069"/>
      <c r="B92" s="244"/>
      <c r="C92" s="383"/>
      <c r="D92" s="383"/>
      <c r="E92" s="433"/>
      <c r="F92" s="55"/>
      <c r="G92" s="55"/>
      <c r="H92" s="136">
        <f t="shared" si="2"/>
        <v>0</v>
      </c>
      <c r="I92" s="136">
        <f t="shared" si="3"/>
        <v>0</v>
      </c>
      <c r="J92" s="73"/>
    </row>
    <row r="93" spans="1:10" s="5" customFormat="1" hidden="1">
      <c r="A93" s="1069"/>
      <c r="B93" s="244"/>
      <c r="C93" s="383"/>
      <c r="D93" s="383"/>
      <c r="E93" s="433"/>
      <c r="F93" s="55"/>
      <c r="G93" s="55"/>
      <c r="H93" s="136">
        <f t="shared" si="2"/>
        <v>0</v>
      </c>
      <c r="I93" s="136">
        <f t="shared" si="3"/>
        <v>0</v>
      </c>
      <c r="J93" s="73"/>
    </row>
    <row r="94" spans="1:10" s="5" customFormat="1" hidden="1">
      <c r="A94" s="1069"/>
      <c r="B94" s="244"/>
      <c r="C94" s="383"/>
      <c r="D94" s="383"/>
      <c r="E94" s="433"/>
      <c r="F94" s="55"/>
      <c r="G94" s="55"/>
      <c r="H94" s="136">
        <f t="shared" si="2"/>
        <v>0</v>
      </c>
      <c r="I94" s="136">
        <f t="shared" si="3"/>
        <v>0</v>
      </c>
      <c r="J94" s="73"/>
    </row>
    <row r="95" spans="1:10" s="5" customFormat="1" hidden="1">
      <c r="A95" s="1069"/>
      <c r="B95" s="244"/>
      <c r="C95" s="383"/>
      <c r="D95" s="383"/>
      <c r="E95" s="433"/>
      <c r="F95" s="55"/>
      <c r="G95" s="55"/>
      <c r="H95" s="136">
        <f t="shared" si="2"/>
        <v>0</v>
      </c>
      <c r="I95" s="136">
        <f t="shared" si="3"/>
        <v>0</v>
      </c>
      <c r="J95" s="73"/>
    </row>
    <row r="96" spans="1:10" s="463" customFormat="1">
      <c r="A96" s="1068"/>
      <c r="B96" s="461" t="s">
        <v>253</v>
      </c>
      <c r="C96" s="462">
        <f>SUM(C8:C95)</f>
        <v>3079400</v>
      </c>
      <c r="D96" s="462">
        <f>SUM(D8:D95)</f>
        <v>0</v>
      </c>
      <c r="E96" s="462">
        <f>SUM(E8:E95)</f>
        <v>3079400</v>
      </c>
      <c r="F96" s="137">
        <f>SUM(F9:F29)</f>
        <v>0</v>
      </c>
      <c r="G96" s="137">
        <f>SUM(G9:G29)</f>
        <v>0</v>
      </c>
      <c r="H96" s="459">
        <f t="shared" si="2"/>
        <v>0</v>
      </c>
      <c r="I96" s="459">
        <f t="shared" si="3"/>
        <v>6158800</v>
      </c>
      <c r="J96" s="460"/>
    </row>
    <row r="97" spans="1:10" s="464" customFormat="1" ht="93.75">
      <c r="A97" s="1068" t="s">
        <v>365</v>
      </c>
      <c r="B97" s="310" t="s">
        <v>1821</v>
      </c>
      <c r="C97" s="456">
        <v>400100</v>
      </c>
      <c r="D97" s="455"/>
      <c r="E97" s="456">
        <v>400100</v>
      </c>
      <c r="F97" s="233"/>
      <c r="G97" s="233"/>
      <c r="H97" s="459">
        <f t="shared" si="2"/>
        <v>0</v>
      </c>
      <c r="I97" s="459">
        <f t="shared" si="3"/>
        <v>800200</v>
      </c>
      <c r="J97" s="460"/>
    </row>
    <row r="98" spans="1:10" ht="131.25">
      <c r="A98" s="1068"/>
      <c r="B98" s="310" t="s">
        <v>1681</v>
      </c>
      <c r="C98" s="455">
        <v>191990</v>
      </c>
      <c r="D98" s="455"/>
      <c r="E98" s="456">
        <v>191990</v>
      </c>
      <c r="F98" s="55"/>
      <c r="G98" s="55"/>
      <c r="H98" s="459">
        <f t="shared" si="2"/>
        <v>0</v>
      </c>
      <c r="I98" s="459">
        <f t="shared" si="3"/>
        <v>383980</v>
      </c>
      <c r="J98" s="460"/>
    </row>
    <row r="99" spans="1:10" s="5" customFormat="1" hidden="1">
      <c r="A99" s="1069"/>
      <c r="B99" s="244"/>
      <c r="C99" s="383"/>
      <c r="D99" s="383"/>
      <c r="E99" s="430"/>
      <c r="F99" s="55"/>
      <c r="G99" s="55"/>
      <c r="H99" s="136">
        <f t="shared" si="2"/>
        <v>0</v>
      </c>
      <c r="I99" s="136">
        <f t="shared" si="3"/>
        <v>0</v>
      </c>
      <c r="J99" s="73"/>
    </row>
    <row r="100" spans="1:10" s="5" customFormat="1" hidden="1">
      <c r="A100" s="1069"/>
      <c r="B100" s="244"/>
      <c r="C100" s="383"/>
      <c r="D100" s="383"/>
      <c r="E100" s="430"/>
      <c r="F100" s="55"/>
      <c r="G100" s="55"/>
      <c r="H100" s="136">
        <f t="shared" si="2"/>
        <v>0</v>
      </c>
      <c r="I100" s="136">
        <f t="shared" si="3"/>
        <v>0</v>
      </c>
      <c r="J100" s="73"/>
    </row>
    <row r="101" spans="1:10" s="5" customFormat="1" hidden="1">
      <c r="A101" s="1069"/>
      <c r="B101" s="244"/>
      <c r="C101" s="383"/>
      <c r="D101" s="383"/>
      <c r="E101" s="430"/>
      <c r="F101" s="55"/>
      <c r="G101" s="55"/>
      <c r="H101" s="136">
        <f t="shared" si="2"/>
        <v>0</v>
      </c>
      <c r="I101" s="136">
        <f t="shared" si="3"/>
        <v>0</v>
      </c>
      <c r="J101" s="73"/>
    </row>
    <row r="102" spans="1:10" s="5" customFormat="1" hidden="1">
      <c r="A102" s="1069"/>
      <c r="B102" s="244"/>
      <c r="C102" s="383"/>
      <c r="D102" s="383"/>
      <c r="E102" s="430"/>
      <c r="F102" s="55"/>
      <c r="G102" s="55"/>
      <c r="H102" s="136">
        <f t="shared" si="2"/>
        <v>0</v>
      </c>
      <c r="I102" s="136">
        <f t="shared" si="3"/>
        <v>0</v>
      </c>
      <c r="J102" s="73"/>
    </row>
    <row r="103" spans="1:10" s="5" customFormat="1" hidden="1">
      <c r="A103" s="1069"/>
      <c r="B103" s="244"/>
      <c r="C103" s="383"/>
      <c r="D103" s="383"/>
      <c r="E103" s="430"/>
      <c r="F103" s="55"/>
      <c r="G103" s="55"/>
      <c r="H103" s="136">
        <f t="shared" si="2"/>
        <v>0</v>
      </c>
      <c r="I103" s="136">
        <f t="shared" si="3"/>
        <v>0</v>
      </c>
      <c r="J103" s="73"/>
    </row>
    <row r="104" spans="1:10" s="5" customFormat="1" hidden="1">
      <c r="A104" s="1069"/>
      <c r="B104" s="244"/>
      <c r="C104" s="383"/>
      <c r="D104" s="383"/>
      <c r="E104" s="430"/>
      <c r="F104" s="55"/>
      <c r="G104" s="55"/>
      <c r="H104" s="136">
        <f t="shared" si="2"/>
        <v>0</v>
      </c>
      <c r="I104" s="136">
        <f t="shared" si="3"/>
        <v>0</v>
      </c>
      <c r="J104" s="73"/>
    </row>
    <row r="105" spans="1:10" s="5" customFormat="1" hidden="1">
      <c r="A105" s="1069"/>
      <c r="B105" s="244"/>
      <c r="C105" s="383"/>
      <c r="D105" s="383"/>
      <c r="E105" s="430"/>
      <c r="F105" s="55"/>
      <c r="G105" s="55"/>
      <c r="H105" s="136">
        <f t="shared" si="2"/>
        <v>0</v>
      </c>
      <c r="I105" s="136">
        <f t="shared" si="3"/>
        <v>0</v>
      </c>
      <c r="J105" s="73"/>
    </row>
    <row r="106" spans="1:10" s="5" customFormat="1" hidden="1">
      <c r="A106" s="1069"/>
      <c r="B106" s="244"/>
      <c r="C106" s="383"/>
      <c r="D106" s="383"/>
      <c r="E106" s="430"/>
      <c r="F106" s="55"/>
      <c r="G106" s="55"/>
      <c r="H106" s="136">
        <f t="shared" si="2"/>
        <v>0</v>
      </c>
      <c r="I106" s="136">
        <f t="shared" si="3"/>
        <v>0</v>
      </c>
      <c r="J106" s="73"/>
    </row>
    <row r="107" spans="1:10" s="5" customFormat="1" hidden="1">
      <c r="A107" s="1069"/>
      <c r="B107" s="244"/>
      <c r="C107" s="383"/>
      <c r="D107" s="383"/>
      <c r="E107" s="430"/>
      <c r="F107" s="55"/>
      <c r="G107" s="55"/>
      <c r="H107" s="136">
        <f t="shared" si="2"/>
        <v>0</v>
      </c>
      <c r="I107" s="136">
        <f t="shared" si="3"/>
        <v>0</v>
      </c>
      <c r="J107" s="73"/>
    </row>
    <row r="108" spans="1:10" s="5" customFormat="1" hidden="1">
      <c r="A108" s="1069"/>
      <c r="B108" s="244"/>
      <c r="C108" s="383"/>
      <c r="D108" s="383"/>
      <c r="E108" s="430"/>
      <c r="F108" s="55"/>
      <c r="G108" s="55"/>
      <c r="H108" s="136">
        <f t="shared" si="2"/>
        <v>0</v>
      </c>
      <c r="I108" s="136">
        <f t="shared" si="3"/>
        <v>0</v>
      </c>
      <c r="J108" s="73"/>
    </row>
    <row r="109" spans="1:10" s="5" customFormat="1" hidden="1">
      <c r="A109" s="1069"/>
      <c r="B109" s="244"/>
      <c r="C109" s="383"/>
      <c r="D109" s="383"/>
      <c r="E109" s="430"/>
      <c r="F109" s="55"/>
      <c r="G109" s="55"/>
      <c r="H109" s="136">
        <f t="shared" si="2"/>
        <v>0</v>
      </c>
      <c r="I109" s="136">
        <f t="shared" si="3"/>
        <v>0</v>
      </c>
      <c r="J109" s="73"/>
    </row>
    <row r="110" spans="1:10" s="5" customFormat="1" hidden="1">
      <c r="A110" s="1069"/>
      <c r="B110" s="244"/>
      <c r="C110" s="383"/>
      <c r="D110" s="383"/>
      <c r="E110" s="433"/>
      <c r="F110" s="55"/>
      <c r="G110" s="55"/>
      <c r="H110" s="136">
        <f t="shared" si="2"/>
        <v>0</v>
      </c>
      <c r="I110" s="136">
        <f t="shared" si="3"/>
        <v>0</v>
      </c>
      <c r="J110" s="73"/>
    </row>
    <row r="111" spans="1:10" s="5" customFormat="1" hidden="1">
      <c r="A111" s="1069"/>
      <c r="B111" s="244"/>
      <c r="C111" s="383"/>
      <c r="D111" s="383"/>
      <c r="E111" s="433"/>
      <c r="F111" s="55"/>
      <c r="G111" s="55"/>
      <c r="H111" s="136">
        <f t="shared" si="2"/>
        <v>0</v>
      </c>
      <c r="I111" s="136">
        <f t="shared" si="3"/>
        <v>0</v>
      </c>
      <c r="J111" s="73"/>
    </row>
    <row r="112" spans="1:10" s="5" customFormat="1" hidden="1">
      <c r="A112" s="1069"/>
      <c r="B112" s="244"/>
      <c r="C112" s="383"/>
      <c r="D112" s="383"/>
      <c r="E112" s="433"/>
      <c r="F112" s="55"/>
      <c r="G112" s="55"/>
      <c r="H112" s="136">
        <f t="shared" si="2"/>
        <v>0</v>
      </c>
      <c r="I112" s="136">
        <f t="shared" si="3"/>
        <v>0</v>
      </c>
      <c r="J112" s="73"/>
    </row>
    <row r="113" spans="1:10" s="5" customFormat="1" hidden="1">
      <c r="A113" s="1069"/>
      <c r="B113" s="244"/>
      <c r="C113" s="383"/>
      <c r="D113" s="383"/>
      <c r="E113" s="433"/>
      <c r="F113" s="55"/>
      <c r="G113" s="55"/>
      <c r="H113" s="136">
        <f t="shared" si="2"/>
        <v>0</v>
      </c>
      <c r="I113" s="136">
        <f t="shared" si="3"/>
        <v>0</v>
      </c>
      <c r="J113" s="73"/>
    </row>
    <row r="114" spans="1:10" s="5" customFormat="1" hidden="1">
      <c r="A114" s="1069"/>
      <c r="B114" s="244"/>
      <c r="C114" s="383"/>
      <c r="D114" s="383"/>
      <c r="E114" s="433"/>
      <c r="F114" s="55"/>
      <c r="G114" s="55"/>
      <c r="H114" s="136">
        <f t="shared" si="2"/>
        <v>0</v>
      </c>
      <c r="I114" s="136">
        <f t="shared" si="3"/>
        <v>0</v>
      </c>
      <c r="J114" s="73"/>
    </row>
    <row r="115" spans="1:10" s="5" customFormat="1" hidden="1">
      <c r="A115" s="1069"/>
      <c r="B115" s="244"/>
      <c r="C115" s="383"/>
      <c r="D115" s="383"/>
      <c r="E115" s="433"/>
      <c r="F115" s="55"/>
      <c r="G115" s="55"/>
      <c r="H115" s="136">
        <f t="shared" si="2"/>
        <v>0</v>
      </c>
      <c r="I115" s="136">
        <f t="shared" si="3"/>
        <v>0</v>
      </c>
      <c r="J115" s="73"/>
    </row>
    <row r="116" spans="1:10" s="5" customFormat="1" hidden="1">
      <c r="A116" s="1069"/>
      <c r="B116" s="244"/>
      <c r="C116" s="383"/>
      <c r="D116" s="383"/>
      <c r="E116" s="433"/>
      <c r="F116" s="55"/>
      <c r="G116" s="55"/>
      <c r="H116" s="136">
        <f t="shared" si="2"/>
        <v>0</v>
      </c>
      <c r="I116" s="136">
        <f t="shared" si="3"/>
        <v>0</v>
      </c>
      <c r="J116" s="73"/>
    </row>
    <row r="117" spans="1:10" s="5" customFormat="1" hidden="1">
      <c r="A117" s="1069"/>
      <c r="B117" s="244"/>
      <c r="C117" s="383"/>
      <c r="D117" s="383"/>
      <c r="E117" s="433"/>
      <c r="F117" s="55"/>
      <c r="G117" s="55"/>
      <c r="H117" s="136">
        <f t="shared" si="2"/>
        <v>0</v>
      </c>
      <c r="I117" s="136">
        <f t="shared" si="3"/>
        <v>0</v>
      </c>
      <c r="J117" s="73"/>
    </row>
    <row r="118" spans="1:10" s="5" customFormat="1" hidden="1">
      <c r="A118" s="1069"/>
      <c r="B118" s="244"/>
      <c r="C118" s="383"/>
      <c r="D118" s="383"/>
      <c r="E118" s="433"/>
      <c r="F118" s="55"/>
      <c r="G118" s="55"/>
      <c r="H118" s="136">
        <f t="shared" si="2"/>
        <v>0</v>
      </c>
      <c r="I118" s="136">
        <f t="shared" si="3"/>
        <v>0</v>
      </c>
      <c r="J118" s="73"/>
    </row>
    <row r="119" spans="1:10" s="5" customFormat="1" hidden="1">
      <c r="A119" s="1069"/>
      <c r="B119" s="244"/>
      <c r="C119" s="383"/>
      <c r="D119" s="383"/>
      <c r="E119" s="433"/>
      <c r="F119" s="55"/>
      <c r="G119" s="55"/>
      <c r="H119" s="136">
        <f t="shared" si="2"/>
        <v>0</v>
      </c>
      <c r="I119" s="136">
        <f t="shared" si="3"/>
        <v>0</v>
      </c>
      <c r="J119" s="73"/>
    </row>
    <row r="120" spans="1:10" s="5" customFormat="1" hidden="1">
      <c r="A120" s="1069"/>
      <c r="B120" s="244"/>
      <c r="C120" s="383"/>
      <c r="D120" s="383"/>
      <c r="E120" s="433"/>
      <c r="F120" s="55"/>
      <c r="G120" s="55"/>
      <c r="H120" s="136">
        <f t="shared" si="2"/>
        <v>0</v>
      </c>
      <c r="I120" s="136">
        <f t="shared" si="3"/>
        <v>0</v>
      </c>
      <c r="J120" s="73"/>
    </row>
    <row r="121" spans="1:10" s="5" customFormat="1" hidden="1">
      <c r="A121" s="1069"/>
      <c r="B121" s="244"/>
      <c r="C121" s="383"/>
      <c r="D121" s="383"/>
      <c r="E121" s="433"/>
      <c r="F121" s="55"/>
      <c r="G121" s="55"/>
      <c r="H121" s="136">
        <f t="shared" si="2"/>
        <v>0</v>
      </c>
      <c r="I121" s="136">
        <f t="shared" si="3"/>
        <v>0</v>
      </c>
      <c r="J121" s="73"/>
    </row>
    <row r="122" spans="1:10" s="5" customFormat="1" hidden="1">
      <c r="A122" s="1069"/>
      <c r="B122" s="244"/>
      <c r="C122" s="383"/>
      <c r="D122" s="383"/>
      <c r="E122" s="433"/>
      <c r="F122" s="55"/>
      <c r="G122" s="55"/>
      <c r="H122" s="136">
        <f t="shared" si="2"/>
        <v>0</v>
      </c>
      <c r="I122" s="136">
        <f t="shared" si="3"/>
        <v>0</v>
      </c>
      <c r="J122" s="73"/>
    </row>
    <row r="123" spans="1:10" s="5" customFormat="1" hidden="1">
      <c r="A123" s="1069"/>
      <c r="B123" s="244"/>
      <c r="C123" s="383"/>
      <c r="D123" s="383"/>
      <c r="E123" s="433"/>
      <c r="F123" s="55"/>
      <c r="G123" s="55"/>
      <c r="H123" s="136">
        <f t="shared" si="2"/>
        <v>0</v>
      </c>
      <c r="I123" s="136">
        <f t="shared" si="3"/>
        <v>0</v>
      </c>
      <c r="J123" s="73"/>
    </row>
    <row r="124" spans="1:10" s="5" customFormat="1" hidden="1">
      <c r="A124" s="1069"/>
      <c r="B124" s="244"/>
      <c r="C124" s="383"/>
      <c r="D124" s="383"/>
      <c r="E124" s="433"/>
      <c r="F124" s="55"/>
      <c r="G124" s="55"/>
      <c r="H124" s="136">
        <f t="shared" si="2"/>
        <v>0</v>
      </c>
      <c r="I124" s="136">
        <f t="shared" si="3"/>
        <v>0</v>
      </c>
      <c r="J124" s="73"/>
    </row>
    <row r="125" spans="1:10" s="463" customFormat="1">
      <c r="A125" s="1068"/>
      <c r="B125" s="465" t="s">
        <v>253</v>
      </c>
      <c r="C125" s="466">
        <f>SUM(C97:C124)</f>
        <v>592090</v>
      </c>
      <c r="D125" s="466">
        <f>SUM(D97:D124)</f>
        <v>0</v>
      </c>
      <c r="E125" s="466">
        <f>SUM(E97:E124)</f>
        <v>592090</v>
      </c>
      <c r="F125" s="76"/>
      <c r="G125" s="76"/>
      <c r="H125" s="459">
        <f t="shared" si="2"/>
        <v>0</v>
      </c>
      <c r="I125" s="459">
        <f t="shared" si="3"/>
        <v>1184180</v>
      </c>
      <c r="J125" s="460"/>
    </row>
    <row r="126" spans="1:10" ht="131.25">
      <c r="A126" s="1068" t="s">
        <v>366</v>
      </c>
      <c r="B126" s="310" t="s">
        <v>1681</v>
      </c>
      <c r="C126" s="455">
        <v>164600</v>
      </c>
      <c r="D126" s="455"/>
      <c r="E126" s="456">
        <v>164600</v>
      </c>
      <c r="F126" s="55"/>
      <c r="G126" s="55"/>
      <c r="H126" s="459">
        <f t="shared" si="2"/>
        <v>0</v>
      </c>
      <c r="I126" s="459">
        <f t="shared" si="3"/>
        <v>329200</v>
      </c>
      <c r="J126" s="460"/>
    </row>
    <row r="127" spans="1:10" ht="93.75">
      <c r="A127" s="1068"/>
      <c r="B127" s="310" t="s">
        <v>1819</v>
      </c>
      <c r="C127" s="455">
        <v>338000</v>
      </c>
      <c r="D127" s="455"/>
      <c r="E127" s="455">
        <v>338000</v>
      </c>
      <c r="F127" s="426"/>
      <c r="G127" s="426"/>
      <c r="H127" s="459">
        <f t="shared" si="2"/>
        <v>0</v>
      </c>
      <c r="I127" s="459">
        <f t="shared" si="3"/>
        <v>676000</v>
      </c>
      <c r="J127" s="460"/>
    </row>
    <row r="128" spans="1:10" s="5" customFormat="1" hidden="1">
      <c r="A128" s="1069"/>
      <c r="B128" s="243"/>
      <c r="C128" s="383"/>
      <c r="D128" s="383"/>
      <c r="E128" s="430"/>
      <c r="F128" s="55"/>
      <c r="G128" s="55"/>
      <c r="H128" s="136">
        <f t="shared" si="2"/>
        <v>0</v>
      </c>
      <c r="I128" s="136">
        <f t="shared" si="3"/>
        <v>0</v>
      </c>
      <c r="J128" s="73"/>
    </row>
    <row r="129" spans="1:10" s="5" customFormat="1" hidden="1">
      <c r="A129" s="1069"/>
      <c r="B129" s="244"/>
      <c r="C129" s="383"/>
      <c r="D129" s="383"/>
      <c r="E129" s="430"/>
      <c r="F129" s="55"/>
      <c r="G129" s="55"/>
      <c r="H129" s="136">
        <f t="shared" si="2"/>
        <v>0</v>
      </c>
      <c r="I129" s="136">
        <f t="shared" si="3"/>
        <v>0</v>
      </c>
      <c r="J129" s="73"/>
    </row>
    <row r="130" spans="1:10" s="5" customFormat="1" hidden="1">
      <c r="A130" s="1069"/>
      <c r="B130" s="244"/>
      <c r="C130" s="383"/>
      <c r="D130" s="383"/>
      <c r="E130" s="430"/>
      <c r="F130" s="55"/>
      <c r="G130" s="55"/>
      <c r="H130" s="136">
        <f t="shared" si="2"/>
        <v>0</v>
      </c>
      <c r="I130" s="136">
        <f t="shared" si="3"/>
        <v>0</v>
      </c>
      <c r="J130" s="73"/>
    </row>
    <row r="131" spans="1:10" s="5" customFormat="1" hidden="1">
      <c r="A131" s="1069"/>
      <c r="B131" s="244"/>
      <c r="C131" s="383"/>
      <c r="D131" s="383"/>
      <c r="E131" s="430"/>
      <c r="F131" s="55"/>
      <c r="G131" s="55"/>
      <c r="H131" s="136">
        <f t="shared" si="2"/>
        <v>0</v>
      </c>
      <c r="I131" s="136">
        <f t="shared" si="3"/>
        <v>0</v>
      </c>
      <c r="J131" s="73"/>
    </row>
    <row r="132" spans="1:10" s="5" customFormat="1" hidden="1">
      <c r="A132" s="1069"/>
      <c r="B132" s="244"/>
      <c r="C132" s="383"/>
      <c r="D132" s="383"/>
      <c r="E132" s="430"/>
      <c r="F132" s="55"/>
      <c r="G132" s="55"/>
      <c r="H132" s="136">
        <f t="shared" si="2"/>
        <v>0</v>
      </c>
      <c r="I132" s="136">
        <f t="shared" si="3"/>
        <v>0</v>
      </c>
      <c r="J132" s="73"/>
    </row>
    <row r="133" spans="1:10" s="5" customFormat="1" hidden="1">
      <c r="A133" s="1069"/>
      <c r="B133" s="244"/>
      <c r="C133" s="383"/>
      <c r="D133" s="383"/>
      <c r="E133" s="430"/>
      <c r="F133" s="55"/>
      <c r="G133" s="55"/>
      <c r="H133" s="136">
        <f t="shared" si="2"/>
        <v>0</v>
      </c>
      <c r="I133" s="136">
        <f t="shared" si="3"/>
        <v>0</v>
      </c>
      <c r="J133" s="73"/>
    </row>
    <row r="134" spans="1:10" s="5" customFormat="1" hidden="1">
      <c r="A134" s="1069"/>
      <c r="B134" s="244"/>
      <c r="C134" s="383"/>
      <c r="D134" s="383"/>
      <c r="E134" s="430"/>
      <c r="F134" s="55"/>
      <c r="G134" s="55"/>
      <c r="H134" s="136">
        <f t="shared" si="2"/>
        <v>0</v>
      </c>
      <c r="I134" s="136">
        <f t="shared" si="3"/>
        <v>0</v>
      </c>
      <c r="J134" s="73"/>
    </row>
    <row r="135" spans="1:10" s="5" customFormat="1" hidden="1">
      <c r="A135" s="1069"/>
      <c r="B135" s="244"/>
      <c r="C135" s="383"/>
      <c r="D135" s="383"/>
      <c r="E135" s="430"/>
      <c r="F135" s="55"/>
      <c r="G135" s="55"/>
      <c r="H135" s="136">
        <f t="shared" si="2"/>
        <v>0</v>
      </c>
      <c r="I135" s="136">
        <f t="shared" si="3"/>
        <v>0</v>
      </c>
      <c r="J135" s="73"/>
    </row>
    <row r="136" spans="1:10" s="5" customFormat="1" hidden="1">
      <c r="A136" s="1069"/>
      <c r="B136" s="244"/>
      <c r="C136" s="383"/>
      <c r="D136" s="383"/>
      <c r="E136" s="430"/>
      <c r="F136" s="55"/>
      <c r="G136" s="55"/>
      <c r="H136" s="136">
        <f t="shared" si="2"/>
        <v>0</v>
      </c>
      <c r="I136" s="136">
        <f t="shared" si="3"/>
        <v>0</v>
      </c>
      <c r="J136" s="73"/>
    </row>
    <row r="137" spans="1:10" s="5" customFormat="1" hidden="1">
      <c r="A137" s="1069"/>
      <c r="B137" s="244"/>
      <c r="C137" s="383"/>
      <c r="D137" s="383"/>
      <c r="E137" s="430"/>
      <c r="F137" s="55"/>
      <c r="G137" s="55"/>
      <c r="H137" s="136">
        <f t="shared" ref="H137:H200" si="4">E137+D137-C137</f>
        <v>0</v>
      </c>
      <c r="I137" s="136">
        <f t="shared" ref="I137:I200" si="5">SUM(C137:E137)</f>
        <v>0</v>
      </c>
      <c r="J137" s="73"/>
    </row>
    <row r="138" spans="1:10" s="5" customFormat="1" hidden="1">
      <c r="A138" s="1069"/>
      <c r="B138" s="244"/>
      <c r="C138" s="383"/>
      <c r="D138" s="383"/>
      <c r="E138" s="430"/>
      <c r="F138" s="55"/>
      <c r="G138" s="55"/>
      <c r="H138" s="136">
        <f t="shared" si="4"/>
        <v>0</v>
      </c>
      <c r="I138" s="136">
        <f t="shared" si="5"/>
        <v>0</v>
      </c>
      <c r="J138" s="73"/>
    </row>
    <row r="139" spans="1:10" s="5" customFormat="1" hidden="1">
      <c r="A139" s="1069"/>
      <c r="B139" s="244"/>
      <c r="C139" s="430"/>
      <c r="D139" s="430"/>
      <c r="E139" s="430"/>
      <c r="F139" s="55"/>
      <c r="G139" s="55"/>
      <c r="H139" s="136">
        <f t="shared" si="4"/>
        <v>0</v>
      </c>
      <c r="I139" s="136">
        <f t="shared" si="5"/>
        <v>0</v>
      </c>
      <c r="J139" s="73"/>
    </row>
    <row r="140" spans="1:10" s="5" customFormat="1" hidden="1">
      <c r="A140" s="1069"/>
      <c r="B140" s="244"/>
      <c r="C140" s="383"/>
      <c r="D140" s="383"/>
      <c r="E140" s="430"/>
      <c r="F140" s="55"/>
      <c r="G140" s="55"/>
      <c r="H140" s="136">
        <f t="shared" si="4"/>
        <v>0</v>
      </c>
      <c r="I140" s="136">
        <f t="shared" si="5"/>
        <v>0</v>
      </c>
      <c r="J140" s="73"/>
    </row>
    <row r="141" spans="1:10" s="5" customFormat="1" hidden="1">
      <c r="A141" s="1069"/>
      <c r="B141" s="246"/>
      <c r="C141" s="431"/>
      <c r="D141" s="431"/>
      <c r="E141" s="432"/>
      <c r="F141" s="55"/>
      <c r="G141" s="55"/>
      <c r="H141" s="136">
        <f t="shared" si="4"/>
        <v>0</v>
      </c>
      <c r="I141" s="136">
        <f t="shared" si="5"/>
        <v>0</v>
      </c>
      <c r="J141" s="73"/>
    </row>
    <row r="142" spans="1:10" s="5" customFormat="1" hidden="1">
      <c r="A142" s="1069"/>
      <c r="B142" s="246"/>
      <c r="C142" s="431"/>
      <c r="D142" s="431"/>
      <c r="E142" s="432"/>
      <c r="F142" s="55"/>
      <c r="G142" s="55"/>
      <c r="H142" s="136">
        <f t="shared" si="4"/>
        <v>0</v>
      </c>
      <c r="I142" s="136">
        <f t="shared" si="5"/>
        <v>0</v>
      </c>
      <c r="J142" s="73"/>
    </row>
    <row r="143" spans="1:10" s="5" customFormat="1" hidden="1">
      <c r="A143" s="1069"/>
      <c r="B143" s="246"/>
      <c r="C143" s="431"/>
      <c r="D143" s="431"/>
      <c r="E143" s="432"/>
      <c r="F143" s="55"/>
      <c r="G143" s="55"/>
      <c r="H143" s="136">
        <f t="shared" si="4"/>
        <v>0</v>
      </c>
      <c r="I143" s="136">
        <f t="shared" si="5"/>
        <v>0</v>
      </c>
      <c r="J143" s="73"/>
    </row>
    <row r="144" spans="1:10" s="5" customFormat="1" hidden="1">
      <c r="A144" s="1069"/>
      <c r="B144" s="246"/>
      <c r="C144" s="434"/>
      <c r="D144" s="434"/>
      <c r="E144" s="435"/>
      <c r="F144" s="55"/>
      <c r="G144" s="55"/>
      <c r="H144" s="136">
        <f t="shared" si="4"/>
        <v>0</v>
      </c>
      <c r="I144" s="136">
        <f t="shared" si="5"/>
        <v>0</v>
      </c>
      <c r="J144" s="73"/>
    </row>
    <row r="145" spans="1:10" s="5" customFormat="1" hidden="1">
      <c r="A145" s="1069"/>
      <c r="B145" s="244"/>
      <c r="C145" s="434"/>
      <c r="D145" s="434"/>
      <c r="E145" s="436"/>
      <c r="F145" s="55"/>
      <c r="G145" s="55"/>
      <c r="H145" s="136">
        <f t="shared" si="4"/>
        <v>0</v>
      </c>
      <c r="I145" s="136">
        <f t="shared" si="5"/>
        <v>0</v>
      </c>
      <c r="J145" s="73"/>
    </row>
    <row r="146" spans="1:10" s="5" customFormat="1" hidden="1">
      <c r="A146" s="1069"/>
      <c r="B146" s="246"/>
      <c r="C146" s="431"/>
      <c r="D146" s="431"/>
      <c r="E146" s="432"/>
      <c r="F146" s="55"/>
      <c r="G146" s="55"/>
      <c r="H146" s="136">
        <f t="shared" si="4"/>
        <v>0</v>
      </c>
      <c r="I146" s="136">
        <f t="shared" si="5"/>
        <v>0</v>
      </c>
      <c r="J146" s="73"/>
    </row>
    <row r="147" spans="1:10" s="5" customFormat="1" hidden="1">
      <c r="A147" s="1069"/>
      <c r="B147" s="244"/>
      <c r="C147" s="383"/>
      <c r="D147" s="383"/>
      <c r="E147" s="433"/>
      <c r="F147" s="55"/>
      <c r="G147" s="55"/>
      <c r="H147" s="136">
        <f t="shared" si="4"/>
        <v>0</v>
      </c>
      <c r="I147" s="136">
        <f t="shared" si="5"/>
        <v>0</v>
      </c>
      <c r="J147" s="73"/>
    </row>
    <row r="148" spans="1:10" s="5" customFormat="1" hidden="1">
      <c r="A148" s="1069"/>
      <c r="B148" s="244"/>
      <c r="C148" s="383"/>
      <c r="D148" s="383"/>
      <c r="E148" s="433"/>
      <c r="F148" s="55"/>
      <c r="G148" s="55"/>
      <c r="H148" s="136">
        <f t="shared" si="4"/>
        <v>0</v>
      </c>
      <c r="I148" s="136">
        <f t="shared" si="5"/>
        <v>0</v>
      </c>
      <c r="J148" s="73"/>
    </row>
    <row r="149" spans="1:10" s="5" customFormat="1" hidden="1">
      <c r="A149" s="1069"/>
      <c r="B149" s="244"/>
      <c r="C149" s="383"/>
      <c r="D149" s="383"/>
      <c r="E149" s="433"/>
      <c r="F149" s="55"/>
      <c r="G149" s="55"/>
      <c r="H149" s="136">
        <f t="shared" si="4"/>
        <v>0</v>
      </c>
      <c r="I149" s="136">
        <f t="shared" si="5"/>
        <v>0</v>
      </c>
      <c r="J149" s="73"/>
    </row>
    <row r="150" spans="1:10" s="5" customFormat="1" hidden="1">
      <c r="A150" s="1069"/>
      <c r="B150" s="244"/>
      <c r="C150" s="383"/>
      <c r="D150" s="383"/>
      <c r="E150" s="433"/>
      <c r="F150" s="55"/>
      <c r="G150" s="55"/>
      <c r="H150" s="136">
        <f t="shared" si="4"/>
        <v>0</v>
      </c>
      <c r="I150" s="136">
        <f t="shared" si="5"/>
        <v>0</v>
      </c>
      <c r="J150" s="73"/>
    </row>
    <row r="151" spans="1:10" s="5" customFormat="1" hidden="1">
      <c r="A151" s="1069"/>
      <c r="B151" s="244"/>
      <c r="C151" s="383"/>
      <c r="D151" s="383"/>
      <c r="E151" s="433"/>
      <c r="F151" s="55"/>
      <c r="G151" s="55"/>
      <c r="H151" s="136">
        <f t="shared" si="4"/>
        <v>0</v>
      </c>
      <c r="I151" s="136">
        <f t="shared" si="5"/>
        <v>0</v>
      </c>
      <c r="J151" s="73"/>
    </row>
    <row r="152" spans="1:10" s="5" customFormat="1" hidden="1">
      <c r="A152" s="1069"/>
      <c r="B152" s="244"/>
      <c r="C152" s="383"/>
      <c r="D152" s="383"/>
      <c r="E152" s="433"/>
      <c r="F152" s="55"/>
      <c r="G152" s="55"/>
      <c r="H152" s="136">
        <f t="shared" si="4"/>
        <v>0</v>
      </c>
      <c r="I152" s="136">
        <f t="shared" si="5"/>
        <v>0</v>
      </c>
      <c r="J152" s="73"/>
    </row>
    <row r="153" spans="1:10" s="5" customFormat="1" hidden="1">
      <c r="A153" s="1069"/>
      <c r="B153" s="244"/>
      <c r="C153" s="383"/>
      <c r="D153" s="383"/>
      <c r="E153" s="433"/>
      <c r="F153" s="55"/>
      <c r="G153" s="55"/>
      <c r="H153" s="136">
        <f t="shared" si="4"/>
        <v>0</v>
      </c>
      <c r="I153" s="136">
        <f t="shared" si="5"/>
        <v>0</v>
      </c>
      <c r="J153" s="73"/>
    </row>
    <row r="154" spans="1:10" s="5" customFormat="1" hidden="1">
      <c r="A154" s="1069"/>
      <c r="B154" s="244"/>
      <c r="C154" s="383"/>
      <c r="D154" s="383"/>
      <c r="E154" s="433"/>
      <c r="F154" s="55"/>
      <c r="G154" s="55"/>
      <c r="H154" s="136">
        <f t="shared" si="4"/>
        <v>0</v>
      </c>
      <c r="I154" s="136">
        <f t="shared" si="5"/>
        <v>0</v>
      </c>
      <c r="J154" s="73"/>
    </row>
    <row r="155" spans="1:10" s="5" customFormat="1" hidden="1">
      <c r="A155" s="1069"/>
      <c r="B155" s="244"/>
      <c r="C155" s="383"/>
      <c r="D155" s="383"/>
      <c r="E155" s="433"/>
      <c r="F155" s="55"/>
      <c r="G155" s="55"/>
      <c r="H155" s="136">
        <f t="shared" si="4"/>
        <v>0</v>
      </c>
      <c r="I155" s="136">
        <f t="shared" si="5"/>
        <v>0</v>
      </c>
      <c r="J155" s="73"/>
    </row>
    <row r="156" spans="1:10" s="5" customFormat="1" hidden="1">
      <c r="A156" s="1069"/>
      <c r="B156" s="244"/>
      <c r="C156" s="383"/>
      <c r="D156" s="383"/>
      <c r="E156" s="433"/>
      <c r="F156" s="55"/>
      <c r="G156" s="55"/>
      <c r="H156" s="136">
        <f t="shared" si="4"/>
        <v>0</v>
      </c>
      <c r="I156" s="136">
        <f t="shared" si="5"/>
        <v>0</v>
      </c>
      <c r="J156" s="73"/>
    </row>
    <row r="157" spans="1:10" s="5" customFormat="1" hidden="1">
      <c r="A157" s="1069"/>
      <c r="B157" s="244"/>
      <c r="C157" s="383"/>
      <c r="D157" s="383"/>
      <c r="E157" s="433"/>
      <c r="F157" s="55"/>
      <c r="G157" s="55"/>
      <c r="H157" s="136">
        <f t="shared" si="4"/>
        <v>0</v>
      </c>
      <c r="I157" s="136">
        <f t="shared" si="5"/>
        <v>0</v>
      </c>
      <c r="J157" s="73"/>
    </row>
    <row r="158" spans="1:10">
      <c r="A158" s="1068"/>
      <c r="B158" s="467" t="s">
        <v>253</v>
      </c>
      <c r="C158" s="466">
        <f>SUBTOTAL(9,C126:C146)</f>
        <v>502600</v>
      </c>
      <c r="D158" s="466">
        <f>SUBTOTAL(9,D126:D146)</f>
        <v>0</v>
      </c>
      <c r="E158" s="466">
        <f>SUBTOTAL(9,E126:E146)</f>
        <v>502600</v>
      </c>
      <c r="F158" s="75">
        <f>SUM(F126:F135)</f>
        <v>0</v>
      </c>
      <c r="G158" s="75">
        <f>SUM(G126:G135)</f>
        <v>0</v>
      </c>
      <c r="H158" s="459">
        <f t="shared" si="4"/>
        <v>0</v>
      </c>
      <c r="I158" s="459">
        <f t="shared" si="5"/>
        <v>1005200</v>
      </c>
      <c r="J158" s="460"/>
    </row>
    <row r="159" spans="1:10" s="464" customFormat="1" ht="93.75">
      <c r="A159" s="1068" t="s">
        <v>367</v>
      </c>
      <c r="B159" s="310" t="s">
        <v>1821</v>
      </c>
      <c r="C159" s="455">
        <v>296600</v>
      </c>
      <c r="D159" s="455"/>
      <c r="E159" s="456">
        <v>296600</v>
      </c>
      <c r="F159" s="235"/>
      <c r="G159" s="235"/>
      <c r="H159" s="459">
        <f t="shared" si="4"/>
        <v>0</v>
      </c>
      <c r="I159" s="459">
        <f t="shared" si="5"/>
        <v>593200</v>
      </c>
      <c r="J159" s="460"/>
    </row>
    <row r="160" spans="1:10" ht="131.25">
      <c r="A160" s="1068"/>
      <c r="B160" s="310" t="s">
        <v>1681</v>
      </c>
      <c r="C160" s="455">
        <v>153600</v>
      </c>
      <c r="D160" s="455"/>
      <c r="E160" s="456">
        <v>153600</v>
      </c>
      <c r="F160" s="55"/>
      <c r="G160" s="55"/>
      <c r="H160" s="459">
        <f t="shared" si="4"/>
        <v>0</v>
      </c>
      <c r="I160" s="459">
        <f t="shared" si="5"/>
        <v>307200</v>
      </c>
      <c r="J160" s="460"/>
    </row>
    <row r="161" spans="1:10" s="5" customFormat="1" hidden="1">
      <c r="A161" s="1069"/>
      <c r="B161" s="244"/>
      <c r="C161" s="383"/>
      <c r="D161" s="383"/>
      <c r="E161" s="430"/>
      <c r="F161" s="55"/>
      <c r="G161" s="55"/>
      <c r="H161" s="136">
        <f t="shared" si="4"/>
        <v>0</v>
      </c>
      <c r="I161" s="136">
        <f t="shared" si="5"/>
        <v>0</v>
      </c>
      <c r="J161" s="73"/>
    </row>
    <row r="162" spans="1:10" s="5" customFormat="1" hidden="1">
      <c r="A162" s="1069"/>
      <c r="B162" s="244"/>
      <c r="C162" s="383"/>
      <c r="D162" s="383"/>
      <c r="E162" s="430"/>
      <c r="F162" s="55"/>
      <c r="G162" s="55"/>
      <c r="H162" s="136">
        <f t="shared" si="4"/>
        <v>0</v>
      </c>
      <c r="I162" s="136">
        <f t="shared" si="5"/>
        <v>0</v>
      </c>
      <c r="J162" s="73"/>
    </row>
    <row r="163" spans="1:10" s="5" customFormat="1" hidden="1">
      <c r="A163" s="1069"/>
      <c r="B163" s="244"/>
      <c r="C163" s="383"/>
      <c r="D163" s="383"/>
      <c r="E163" s="430"/>
      <c r="F163" s="55"/>
      <c r="G163" s="55"/>
      <c r="H163" s="136">
        <f t="shared" si="4"/>
        <v>0</v>
      </c>
      <c r="I163" s="136">
        <f t="shared" si="5"/>
        <v>0</v>
      </c>
      <c r="J163" s="73"/>
    </row>
    <row r="164" spans="1:10" s="5" customFormat="1" hidden="1">
      <c r="A164" s="1069"/>
      <c r="B164" s="244"/>
      <c r="C164" s="383"/>
      <c r="D164" s="383"/>
      <c r="E164" s="430"/>
      <c r="F164" s="55"/>
      <c r="G164" s="55"/>
      <c r="H164" s="136">
        <f t="shared" si="4"/>
        <v>0</v>
      </c>
      <c r="I164" s="136">
        <f t="shared" si="5"/>
        <v>0</v>
      </c>
      <c r="J164" s="73"/>
    </row>
    <row r="165" spans="1:10" s="5" customFormat="1" hidden="1">
      <c r="A165" s="1069"/>
      <c r="B165" s="244"/>
      <c r="C165" s="383"/>
      <c r="D165" s="383"/>
      <c r="E165" s="430"/>
      <c r="F165" s="55"/>
      <c r="G165" s="55"/>
      <c r="H165" s="136">
        <f t="shared" si="4"/>
        <v>0</v>
      </c>
      <c r="I165" s="136">
        <f t="shared" si="5"/>
        <v>0</v>
      </c>
      <c r="J165" s="73"/>
    </row>
    <row r="166" spans="1:10" s="5" customFormat="1" hidden="1">
      <c r="A166" s="1069"/>
      <c r="B166" s="244"/>
      <c r="C166" s="383"/>
      <c r="D166" s="383"/>
      <c r="E166" s="430"/>
      <c r="F166" s="55"/>
      <c r="G166" s="55"/>
      <c r="H166" s="136">
        <f t="shared" si="4"/>
        <v>0</v>
      </c>
      <c r="I166" s="136">
        <f t="shared" si="5"/>
        <v>0</v>
      </c>
      <c r="J166" s="73"/>
    </row>
    <row r="167" spans="1:10" s="5" customFormat="1" hidden="1">
      <c r="A167" s="1069"/>
      <c r="B167" s="244"/>
      <c r="C167" s="383"/>
      <c r="D167" s="383"/>
      <c r="E167" s="430"/>
      <c r="F167" s="55"/>
      <c r="G167" s="55"/>
      <c r="H167" s="136">
        <f t="shared" si="4"/>
        <v>0</v>
      </c>
      <c r="I167" s="136">
        <f t="shared" si="5"/>
        <v>0</v>
      </c>
      <c r="J167" s="73"/>
    </row>
    <row r="168" spans="1:10" s="5" customFormat="1" hidden="1">
      <c r="A168" s="1069"/>
      <c r="B168" s="244"/>
      <c r="C168" s="383"/>
      <c r="D168" s="383"/>
      <c r="E168" s="430"/>
      <c r="F168" s="55"/>
      <c r="G168" s="55"/>
      <c r="H168" s="136">
        <f t="shared" si="4"/>
        <v>0</v>
      </c>
      <c r="I168" s="136">
        <f t="shared" si="5"/>
        <v>0</v>
      </c>
      <c r="J168" s="73"/>
    </row>
    <row r="169" spans="1:10" s="5" customFormat="1" hidden="1">
      <c r="A169" s="1069"/>
      <c r="B169" s="244"/>
      <c r="C169" s="383"/>
      <c r="D169" s="383"/>
      <c r="E169" s="430"/>
      <c r="F169" s="55"/>
      <c r="G169" s="55"/>
      <c r="H169" s="136">
        <f t="shared" si="4"/>
        <v>0</v>
      </c>
      <c r="I169" s="136">
        <f t="shared" si="5"/>
        <v>0</v>
      </c>
      <c r="J169" s="73"/>
    </row>
    <row r="170" spans="1:10" s="5" customFormat="1" hidden="1">
      <c r="A170" s="1069"/>
      <c r="B170" s="244"/>
      <c r="C170" s="383"/>
      <c r="D170" s="383"/>
      <c r="E170" s="383"/>
      <c r="F170" s="55"/>
      <c r="G170" s="55"/>
      <c r="H170" s="136">
        <f t="shared" si="4"/>
        <v>0</v>
      </c>
      <c r="I170" s="136">
        <f t="shared" si="5"/>
        <v>0</v>
      </c>
      <c r="J170" s="73"/>
    </row>
    <row r="171" spans="1:10" s="5" customFormat="1" hidden="1">
      <c r="A171" s="1069"/>
      <c r="B171" s="244"/>
      <c r="C171" s="383"/>
      <c r="D171" s="383"/>
      <c r="E171" s="383"/>
      <c r="F171" s="55"/>
      <c r="G171" s="55"/>
      <c r="H171" s="136">
        <f t="shared" si="4"/>
        <v>0</v>
      </c>
      <c r="I171" s="136">
        <f t="shared" si="5"/>
        <v>0</v>
      </c>
      <c r="J171" s="73"/>
    </row>
    <row r="172" spans="1:10" s="5" customFormat="1" hidden="1">
      <c r="A172" s="1069"/>
      <c r="B172" s="244"/>
      <c r="C172" s="383"/>
      <c r="D172" s="383"/>
      <c r="E172" s="383"/>
      <c r="F172" s="55"/>
      <c r="G172" s="55"/>
      <c r="H172" s="136">
        <f t="shared" si="4"/>
        <v>0</v>
      </c>
      <c r="I172" s="136">
        <f t="shared" si="5"/>
        <v>0</v>
      </c>
      <c r="J172" s="73"/>
    </row>
    <row r="173" spans="1:10" s="5" customFormat="1" hidden="1">
      <c r="A173" s="1069"/>
      <c r="B173" s="244"/>
      <c r="C173" s="383"/>
      <c r="D173" s="383"/>
      <c r="E173" s="383"/>
      <c r="F173" s="55"/>
      <c r="G173" s="55"/>
      <c r="H173" s="136">
        <f t="shared" si="4"/>
        <v>0</v>
      </c>
      <c r="I173" s="136">
        <f t="shared" si="5"/>
        <v>0</v>
      </c>
      <c r="J173" s="73"/>
    </row>
    <row r="174" spans="1:10" s="5" customFormat="1" hidden="1">
      <c r="A174" s="1069"/>
      <c r="B174" s="244"/>
      <c r="C174" s="383"/>
      <c r="D174" s="383"/>
      <c r="E174" s="383"/>
      <c r="F174" s="55"/>
      <c r="G174" s="55"/>
      <c r="H174" s="136">
        <f t="shared" si="4"/>
        <v>0</v>
      </c>
      <c r="I174" s="136">
        <f t="shared" si="5"/>
        <v>0</v>
      </c>
      <c r="J174" s="73"/>
    </row>
    <row r="175" spans="1:10" s="5" customFormat="1" hidden="1">
      <c r="A175" s="1069"/>
      <c r="B175" s="244"/>
      <c r="C175" s="383"/>
      <c r="D175" s="383"/>
      <c r="E175" s="383"/>
      <c r="F175" s="55"/>
      <c r="G175" s="55"/>
      <c r="H175" s="136">
        <f t="shared" si="4"/>
        <v>0</v>
      </c>
      <c r="I175" s="136">
        <f t="shared" si="5"/>
        <v>0</v>
      </c>
      <c r="J175" s="73"/>
    </row>
    <row r="176" spans="1:10" s="5" customFormat="1" hidden="1">
      <c r="A176" s="1069"/>
      <c r="B176" s="244"/>
      <c r="C176" s="383"/>
      <c r="D176" s="383"/>
      <c r="E176" s="430"/>
      <c r="F176" s="55"/>
      <c r="G176" s="55"/>
      <c r="H176" s="136">
        <f t="shared" si="4"/>
        <v>0</v>
      </c>
      <c r="I176" s="136">
        <f t="shared" si="5"/>
        <v>0</v>
      </c>
      <c r="J176" s="73"/>
    </row>
    <row r="177" spans="1:10" s="5" customFormat="1" hidden="1">
      <c r="A177" s="1069"/>
      <c r="B177" s="244"/>
      <c r="C177" s="383"/>
      <c r="D177" s="383"/>
      <c r="E177" s="430"/>
      <c r="F177" s="55"/>
      <c r="G177" s="55"/>
      <c r="H177" s="136">
        <f t="shared" si="4"/>
        <v>0</v>
      </c>
      <c r="I177" s="136">
        <f t="shared" si="5"/>
        <v>0</v>
      </c>
      <c r="J177" s="73"/>
    </row>
    <row r="178" spans="1:10" s="5" customFormat="1" hidden="1">
      <c r="A178" s="1069"/>
      <c r="B178" s="244"/>
      <c r="C178" s="383"/>
      <c r="D178" s="383"/>
      <c r="E178" s="383"/>
      <c r="F178" s="55"/>
      <c r="G178" s="55"/>
      <c r="H178" s="136">
        <f t="shared" si="4"/>
        <v>0</v>
      </c>
      <c r="I178" s="136">
        <f t="shared" si="5"/>
        <v>0</v>
      </c>
      <c r="J178" s="73"/>
    </row>
    <row r="179" spans="1:10" s="5" customFormat="1" hidden="1">
      <c r="A179" s="1069"/>
      <c r="B179" s="244"/>
      <c r="C179" s="383"/>
      <c r="D179" s="383"/>
      <c r="E179" s="383"/>
      <c r="F179" s="55"/>
      <c r="G179" s="55"/>
      <c r="H179" s="136">
        <f t="shared" si="4"/>
        <v>0</v>
      </c>
      <c r="I179" s="136">
        <f t="shared" si="5"/>
        <v>0</v>
      </c>
      <c r="J179" s="73"/>
    </row>
    <row r="180" spans="1:10" s="5" customFormat="1" hidden="1">
      <c r="A180" s="1069"/>
      <c r="B180" s="244"/>
      <c r="C180" s="383"/>
      <c r="D180" s="383"/>
      <c r="E180" s="430"/>
      <c r="F180" s="55"/>
      <c r="G180" s="55"/>
      <c r="H180" s="136">
        <f t="shared" si="4"/>
        <v>0</v>
      </c>
      <c r="I180" s="136">
        <f t="shared" si="5"/>
        <v>0</v>
      </c>
      <c r="J180" s="73"/>
    </row>
    <row r="181" spans="1:10" s="5" customFormat="1" hidden="1">
      <c r="A181" s="1069"/>
      <c r="B181" s="244"/>
      <c r="C181" s="383"/>
      <c r="D181" s="383"/>
      <c r="E181" s="430"/>
      <c r="F181" s="55"/>
      <c r="G181" s="55"/>
      <c r="H181" s="136">
        <f t="shared" si="4"/>
        <v>0</v>
      </c>
      <c r="I181" s="136">
        <f t="shared" si="5"/>
        <v>0</v>
      </c>
      <c r="J181" s="73"/>
    </row>
    <row r="182" spans="1:10" s="5" customFormat="1" hidden="1">
      <c r="A182" s="1069"/>
      <c r="B182" s="244"/>
      <c r="C182" s="383"/>
      <c r="D182" s="383"/>
      <c r="E182" s="430"/>
      <c r="F182" s="55"/>
      <c r="G182" s="55"/>
      <c r="H182" s="136">
        <f t="shared" si="4"/>
        <v>0</v>
      </c>
      <c r="I182" s="136">
        <f t="shared" si="5"/>
        <v>0</v>
      </c>
      <c r="J182" s="73"/>
    </row>
    <row r="183" spans="1:10" s="5" customFormat="1" hidden="1">
      <c r="A183" s="1069"/>
      <c r="B183" s="244"/>
      <c r="C183" s="383"/>
      <c r="D183" s="383"/>
      <c r="E183" s="433"/>
      <c r="F183" s="55"/>
      <c r="G183" s="55"/>
      <c r="H183" s="136">
        <f t="shared" si="4"/>
        <v>0</v>
      </c>
      <c r="I183" s="136">
        <f t="shared" si="5"/>
        <v>0</v>
      </c>
      <c r="J183" s="73"/>
    </row>
    <row r="184" spans="1:10" s="5" customFormat="1" hidden="1">
      <c r="A184" s="1069"/>
      <c r="B184" s="246"/>
      <c r="C184" s="434"/>
      <c r="D184" s="434"/>
      <c r="E184" s="435"/>
      <c r="F184" s="55"/>
      <c r="G184" s="55"/>
      <c r="H184" s="136">
        <f t="shared" si="4"/>
        <v>0</v>
      </c>
      <c r="I184" s="136">
        <f t="shared" si="5"/>
        <v>0</v>
      </c>
      <c r="J184" s="73"/>
    </row>
    <row r="185" spans="1:10" s="5" customFormat="1" hidden="1">
      <c r="A185" s="1069"/>
      <c r="B185" s="246"/>
      <c r="C185" s="434"/>
      <c r="D185" s="434"/>
      <c r="E185" s="435"/>
      <c r="F185" s="55"/>
      <c r="G185" s="55"/>
      <c r="H185" s="136">
        <f t="shared" si="4"/>
        <v>0</v>
      </c>
      <c r="I185" s="136">
        <f t="shared" si="5"/>
        <v>0</v>
      </c>
      <c r="J185" s="73"/>
    </row>
    <row r="186" spans="1:10" s="5" customFormat="1" hidden="1">
      <c r="A186" s="1069"/>
      <c r="B186" s="246"/>
      <c r="C186" s="434"/>
      <c r="D186" s="434"/>
      <c r="E186" s="435"/>
      <c r="F186" s="55"/>
      <c r="G186" s="55"/>
      <c r="H186" s="136">
        <f t="shared" si="4"/>
        <v>0</v>
      </c>
      <c r="I186" s="136">
        <f t="shared" si="5"/>
        <v>0</v>
      </c>
      <c r="J186" s="73"/>
    </row>
    <row r="187" spans="1:10" s="5" customFormat="1" hidden="1">
      <c r="A187" s="1069"/>
      <c r="B187" s="246"/>
      <c r="C187" s="434"/>
      <c r="D187" s="434"/>
      <c r="E187" s="435"/>
      <c r="F187" s="55"/>
      <c r="G187" s="55"/>
      <c r="H187" s="136">
        <f t="shared" si="4"/>
        <v>0</v>
      </c>
      <c r="I187" s="136">
        <f t="shared" si="5"/>
        <v>0</v>
      </c>
      <c r="J187" s="73"/>
    </row>
    <row r="188" spans="1:10" s="5" customFormat="1" hidden="1">
      <c r="A188" s="1069"/>
      <c r="B188" s="244"/>
      <c r="C188" s="383"/>
      <c r="D188" s="383"/>
      <c r="E188" s="433"/>
      <c r="F188" s="55"/>
      <c r="G188" s="55"/>
      <c r="H188" s="136">
        <f t="shared" si="4"/>
        <v>0</v>
      </c>
      <c r="I188" s="136">
        <f t="shared" si="5"/>
        <v>0</v>
      </c>
      <c r="J188" s="73"/>
    </row>
    <row r="189" spans="1:10" s="5" customFormat="1" hidden="1">
      <c r="A189" s="1069"/>
      <c r="B189" s="244"/>
      <c r="C189" s="383"/>
      <c r="D189" s="383"/>
      <c r="E189" s="433"/>
      <c r="F189" s="55"/>
      <c r="G189" s="55"/>
      <c r="H189" s="136">
        <f t="shared" si="4"/>
        <v>0</v>
      </c>
      <c r="I189" s="136">
        <f t="shared" si="5"/>
        <v>0</v>
      </c>
      <c r="J189" s="73"/>
    </row>
    <row r="190" spans="1:10" s="5" customFormat="1" hidden="1">
      <c r="A190" s="1069"/>
      <c r="B190" s="244"/>
      <c r="C190" s="383"/>
      <c r="D190" s="383"/>
      <c r="E190" s="433"/>
      <c r="F190" s="55"/>
      <c r="G190" s="55"/>
      <c r="H190" s="136">
        <f t="shared" si="4"/>
        <v>0</v>
      </c>
      <c r="I190" s="136">
        <f t="shared" si="5"/>
        <v>0</v>
      </c>
      <c r="J190" s="73"/>
    </row>
    <row r="191" spans="1:10" s="5" customFormat="1" hidden="1">
      <c r="A191" s="1069"/>
      <c r="B191" s="244"/>
      <c r="C191" s="383"/>
      <c r="D191" s="383"/>
      <c r="E191" s="433"/>
      <c r="F191" s="55"/>
      <c r="G191" s="55"/>
      <c r="H191" s="136">
        <f t="shared" si="4"/>
        <v>0</v>
      </c>
      <c r="I191" s="136">
        <f t="shared" si="5"/>
        <v>0</v>
      </c>
      <c r="J191" s="73"/>
    </row>
    <row r="192" spans="1:10" s="5" customFormat="1" hidden="1">
      <c r="A192" s="1069"/>
      <c r="B192" s="244"/>
      <c r="C192" s="383"/>
      <c r="D192" s="383"/>
      <c r="E192" s="433"/>
      <c r="F192" s="55"/>
      <c r="G192" s="55"/>
      <c r="H192" s="136">
        <f t="shared" si="4"/>
        <v>0</v>
      </c>
      <c r="I192" s="136">
        <f t="shared" si="5"/>
        <v>0</v>
      </c>
      <c r="J192" s="73"/>
    </row>
    <row r="193" spans="1:10" s="5" customFormat="1" hidden="1">
      <c r="A193" s="1069"/>
      <c r="B193" s="244"/>
      <c r="C193" s="383"/>
      <c r="D193" s="383"/>
      <c r="E193" s="433"/>
      <c r="F193" s="55"/>
      <c r="G193" s="55"/>
      <c r="H193" s="136">
        <f t="shared" si="4"/>
        <v>0</v>
      </c>
      <c r="I193" s="136">
        <f t="shared" si="5"/>
        <v>0</v>
      </c>
      <c r="J193" s="73"/>
    </row>
    <row r="194" spans="1:10" s="5" customFormat="1" hidden="1">
      <c r="A194" s="1069"/>
      <c r="B194" s="244"/>
      <c r="C194" s="383"/>
      <c r="D194" s="383"/>
      <c r="E194" s="433"/>
      <c r="F194" s="55"/>
      <c r="G194" s="55"/>
      <c r="H194" s="136">
        <f t="shared" si="4"/>
        <v>0</v>
      </c>
      <c r="I194" s="136">
        <f t="shared" si="5"/>
        <v>0</v>
      </c>
      <c r="J194" s="73"/>
    </row>
    <row r="195" spans="1:10" s="5" customFormat="1" hidden="1">
      <c r="A195" s="1069"/>
      <c r="B195" s="244"/>
      <c r="C195" s="383"/>
      <c r="D195" s="383"/>
      <c r="E195" s="383"/>
      <c r="F195" s="55"/>
      <c r="G195" s="55"/>
      <c r="H195" s="136">
        <f t="shared" si="4"/>
        <v>0</v>
      </c>
      <c r="I195" s="136">
        <f t="shared" si="5"/>
        <v>0</v>
      </c>
      <c r="J195" s="73"/>
    </row>
    <row r="196" spans="1:10" s="5" customFormat="1" hidden="1">
      <c r="A196" s="1069"/>
      <c r="B196" s="244"/>
      <c r="C196" s="383"/>
      <c r="D196" s="383"/>
      <c r="E196" s="383"/>
      <c r="F196" s="55"/>
      <c r="G196" s="55"/>
      <c r="H196" s="136">
        <f t="shared" si="4"/>
        <v>0</v>
      </c>
      <c r="I196" s="136">
        <f t="shared" si="5"/>
        <v>0</v>
      </c>
      <c r="J196" s="73"/>
    </row>
    <row r="197" spans="1:10" s="5" customFormat="1" hidden="1">
      <c r="A197" s="1069"/>
      <c r="B197" s="244"/>
      <c r="C197" s="383"/>
      <c r="D197" s="383"/>
      <c r="E197" s="383"/>
      <c r="F197" s="55"/>
      <c r="G197" s="55"/>
      <c r="H197" s="136">
        <f t="shared" si="4"/>
        <v>0</v>
      </c>
      <c r="I197" s="136">
        <f t="shared" si="5"/>
        <v>0</v>
      </c>
      <c r="J197" s="73"/>
    </row>
    <row r="198" spans="1:10" s="5" customFormat="1" hidden="1">
      <c r="A198" s="1069"/>
      <c r="B198" s="244"/>
      <c r="C198" s="383"/>
      <c r="D198" s="383"/>
      <c r="E198" s="383"/>
      <c r="F198" s="55"/>
      <c r="G198" s="55"/>
      <c r="H198" s="136">
        <f t="shared" si="4"/>
        <v>0</v>
      </c>
      <c r="I198" s="136">
        <f t="shared" si="5"/>
        <v>0</v>
      </c>
      <c r="J198" s="73"/>
    </row>
    <row r="199" spans="1:10" s="5" customFormat="1" hidden="1">
      <c r="A199" s="1069"/>
      <c r="B199" s="244"/>
      <c r="C199" s="383"/>
      <c r="D199" s="383"/>
      <c r="E199" s="383"/>
      <c r="F199" s="55"/>
      <c r="G199" s="55"/>
      <c r="H199" s="136">
        <f t="shared" si="4"/>
        <v>0</v>
      </c>
      <c r="I199" s="136">
        <f t="shared" si="5"/>
        <v>0</v>
      </c>
      <c r="J199" s="73"/>
    </row>
    <row r="200" spans="1:10" s="5" customFormat="1" hidden="1">
      <c r="A200" s="1069"/>
      <c r="B200" s="244"/>
      <c r="C200" s="383"/>
      <c r="D200" s="383"/>
      <c r="E200" s="383"/>
      <c r="F200" s="55"/>
      <c r="G200" s="55"/>
      <c r="H200" s="136">
        <f t="shared" si="4"/>
        <v>0</v>
      </c>
      <c r="I200" s="136">
        <f t="shared" si="5"/>
        <v>0</v>
      </c>
      <c r="J200" s="73"/>
    </row>
    <row r="201" spans="1:10">
      <c r="A201" s="1068"/>
      <c r="B201" s="467" t="s">
        <v>253</v>
      </c>
      <c r="C201" s="466">
        <f>SUM(C159:C200)</f>
        <v>450200</v>
      </c>
      <c r="D201" s="466">
        <f>SUM(D159:D200)</f>
        <v>0</v>
      </c>
      <c r="E201" s="466">
        <f>SUM(E159:E200)</f>
        <v>450200</v>
      </c>
      <c r="F201" s="75">
        <f>SUM(F159:F177)</f>
        <v>0</v>
      </c>
      <c r="G201" s="75">
        <f>SUM(G159:G177)</f>
        <v>0</v>
      </c>
      <c r="H201" s="459">
        <f t="shared" ref="H201:H264" si="6">E201+D201-C201</f>
        <v>0</v>
      </c>
      <c r="I201" s="459">
        <f t="shared" ref="I201:I264" si="7">SUM(C201:E201)</f>
        <v>900400</v>
      </c>
      <c r="J201" s="460"/>
    </row>
    <row r="202" spans="1:10" s="5" customFormat="1" ht="75" hidden="1">
      <c r="A202" s="1069" t="s">
        <v>294</v>
      </c>
      <c r="B202" s="72" t="s">
        <v>1065</v>
      </c>
      <c r="C202" s="416">
        <f>2047000-2047000</f>
        <v>0</v>
      </c>
      <c r="D202" s="416"/>
      <c r="E202" s="416">
        <f>2047000-2047000</f>
        <v>0</v>
      </c>
      <c r="F202" s="55"/>
      <c r="G202" s="55"/>
      <c r="H202" s="136">
        <f t="shared" si="6"/>
        <v>0</v>
      </c>
      <c r="I202" s="136">
        <f t="shared" si="7"/>
        <v>0</v>
      </c>
      <c r="J202" s="73"/>
    </row>
    <row r="203" spans="1:10" ht="93.75">
      <c r="A203" s="1068"/>
      <c r="B203" s="310" t="s">
        <v>1821</v>
      </c>
      <c r="C203" s="455">
        <v>139100</v>
      </c>
      <c r="D203" s="455"/>
      <c r="E203" s="455">
        <v>139100</v>
      </c>
      <c r="F203" s="55"/>
      <c r="G203" s="55"/>
      <c r="H203" s="459">
        <f t="shared" si="6"/>
        <v>0</v>
      </c>
      <c r="I203" s="459">
        <f t="shared" si="7"/>
        <v>278200</v>
      </c>
      <c r="J203" s="460"/>
    </row>
    <row r="204" spans="1:10" ht="131.25">
      <c r="A204" s="1068"/>
      <c r="B204" s="310" t="s">
        <v>1681</v>
      </c>
      <c r="C204" s="455">
        <v>71310</v>
      </c>
      <c r="D204" s="455"/>
      <c r="E204" s="455">
        <v>71310</v>
      </c>
      <c r="F204" s="55"/>
      <c r="G204" s="55"/>
      <c r="H204" s="459">
        <f t="shared" si="6"/>
        <v>0</v>
      </c>
      <c r="I204" s="459">
        <f t="shared" si="7"/>
        <v>142620</v>
      </c>
      <c r="J204" s="460"/>
    </row>
    <row r="205" spans="1:10" s="5" customFormat="1" hidden="1">
      <c r="A205" s="1069"/>
      <c r="B205" s="244"/>
      <c r="C205" s="383"/>
      <c r="D205" s="383"/>
      <c r="E205" s="430"/>
      <c r="F205" s="55"/>
      <c r="G205" s="55"/>
      <c r="H205" s="136">
        <f t="shared" si="6"/>
        <v>0</v>
      </c>
      <c r="I205" s="136">
        <f t="shared" si="7"/>
        <v>0</v>
      </c>
      <c r="J205" s="73"/>
    </row>
    <row r="206" spans="1:10" s="5" customFormat="1" hidden="1">
      <c r="A206" s="1069"/>
      <c r="B206" s="244"/>
      <c r="C206" s="383"/>
      <c r="D206" s="383"/>
      <c r="E206" s="383"/>
      <c r="F206" s="55"/>
      <c r="G206" s="55"/>
      <c r="H206" s="136">
        <f t="shared" si="6"/>
        <v>0</v>
      </c>
      <c r="I206" s="136">
        <f t="shared" si="7"/>
        <v>0</v>
      </c>
      <c r="J206" s="73"/>
    </row>
    <row r="207" spans="1:10" s="5" customFormat="1" hidden="1">
      <c r="A207" s="1069"/>
      <c r="B207" s="244"/>
      <c r="C207" s="383"/>
      <c r="D207" s="383"/>
      <c r="E207" s="383"/>
      <c r="F207" s="55"/>
      <c r="G207" s="55"/>
      <c r="H207" s="136">
        <f t="shared" si="6"/>
        <v>0</v>
      </c>
      <c r="I207" s="136">
        <f t="shared" si="7"/>
        <v>0</v>
      </c>
      <c r="J207" s="73"/>
    </row>
    <row r="208" spans="1:10" s="5" customFormat="1" hidden="1">
      <c r="A208" s="1069"/>
      <c r="B208" s="244"/>
      <c r="C208" s="430"/>
      <c r="D208" s="430"/>
      <c r="E208" s="430"/>
      <c r="F208" s="55"/>
      <c r="G208" s="55"/>
      <c r="H208" s="136">
        <f t="shared" si="6"/>
        <v>0</v>
      </c>
      <c r="I208" s="136">
        <f t="shared" si="7"/>
        <v>0</v>
      </c>
      <c r="J208" s="73"/>
    </row>
    <row r="209" spans="1:10" s="5" customFormat="1" hidden="1">
      <c r="A209" s="1069"/>
      <c r="B209" s="244"/>
      <c r="C209" s="430"/>
      <c r="D209" s="430"/>
      <c r="E209" s="430"/>
      <c r="F209" s="55"/>
      <c r="G209" s="55"/>
      <c r="H209" s="136">
        <f t="shared" si="6"/>
        <v>0</v>
      </c>
      <c r="I209" s="136">
        <f t="shared" si="7"/>
        <v>0</v>
      </c>
      <c r="J209" s="73"/>
    </row>
    <row r="210" spans="1:10" s="5" customFormat="1" hidden="1">
      <c r="A210" s="1069"/>
      <c r="B210" s="244"/>
      <c r="C210" s="430"/>
      <c r="D210" s="430"/>
      <c r="E210" s="430"/>
      <c r="F210" s="55"/>
      <c r="G210" s="55"/>
      <c r="H210" s="136">
        <f t="shared" si="6"/>
        <v>0</v>
      </c>
      <c r="I210" s="136">
        <f t="shared" si="7"/>
        <v>0</v>
      </c>
      <c r="J210" s="73"/>
    </row>
    <row r="211" spans="1:10" s="5" customFormat="1" hidden="1">
      <c r="A211" s="1069"/>
      <c r="B211" s="244"/>
      <c r="C211" s="430"/>
      <c r="D211" s="430"/>
      <c r="E211" s="430"/>
      <c r="F211" s="55"/>
      <c r="G211" s="55"/>
      <c r="H211" s="136">
        <f t="shared" si="6"/>
        <v>0</v>
      </c>
      <c r="I211" s="136">
        <f t="shared" si="7"/>
        <v>0</v>
      </c>
      <c r="J211" s="73"/>
    </row>
    <row r="212" spans="1:10" s="5" customFormat="1" hidden="1">
      <c r="A212" s="1069"/>
      <c r="B212" s="244"/>
      <c r="C212" s="430"/>
      <c r="D212" s="430"/>
      <c r="E212" s="430"/>
      <c r="F212" s="55"/>
      <c r="G212" s="55"/>
      <c r="H212" s="136">
        <f t="shared" si="6"/>
        <v>0</v>
      </c>
      <c r="I212" s="136">
        <f t="shared" si="7"/>
        <v>0</v>
      </c>
      <c r="J212" s="73"/>
    </row>
    <row r="213" spans="1:10" s="5" customFormat="1" hidden="1">
      <c r="A213" s="1069"/>
      <c r="B213" s="246"/>
      <c r="C213" s="431"/>
      <c r="D213" s="431"/>
      <c r="E213" s="432"/>
      <c r="F213" s="55"/>
      <c r="G213" s="55"/>
      <c r="H213" s="136">
        <f t="shared" si="6"/>
        <v>0</v>
      </c>
      <c r="I213" s="136">
        <f t="shared" si="7"/>
        <v>0</v>
      </c>
      <c r="J213" s="73"/>
    </row>
    <row r="214" spans="1:10" s="5" customFormat="1" hidden="1">
      <c r="A214" s="1069"/>
      <c r="B214" s="246"/>
      <c r="C214" s="431"/>
      <c r="D214" s="431"/>
      <c r="E214" s="432"/>
      <c r="F214" s="55"/>
      <c r="G214" s="55"/>
      <c r="H214" s="136">
        <f t="shared" si="6"/>
        <v>0</v>
      </c>
      <c r="I214" s="136">
        <f t="shared" si="7"/>
        <v>0</v>
      </c>
      <c r="J214" s="73"/>
    </row>
    <row r="215" spans="1:10" s="5" customFormat="1" hidden="1">
      <c r="A215" s="1069"/>
      <c r="B215" s="246"/>
      <c r="C215" s="431"/>
      <c r="D215" s="431"/>
      <c r="E215" s="432"/>
      <c r="F215" s="55"/>
      <c r="G215" s="55"/>
      <c r="H215" s="136">
        <f t="shared" si="6"/>
        <v>0</v>
      </c>
      <c r="I215" s="136">
        <f t="shared" si="7"/>
        <v>0</v>
      </c>
      <c r="J215" s="73"/>
    </row>
    <row r="216" spans="1:10" s="5" customFormat="1" hidden="1">
      <c r="A216" s="1069"/>
      <c r="B216" s="244"/>
      <c r="C216" s="434"/>
      <c r="D216" s="434"/>
      <c r="E216" s="436"/>
      <c r="F216" s="55"/>
      <c r="G216" s="55"/>
      <c r="H216" s="136">
        <f t="shared" si="6"/>
        <v>0</v>
      </c>
      <c r="I216" s="136">
        <f t="shared" si="7"/>
        <v>0</v>
      </c>
      <c r="J216" s="73"/>
    </row>
    <row r="217" spans="1:10" s="5" customFormat="1" hidden="1">
      <c r="A217" s="1069"/>
      <c r="B217" s="244"/>
      <c r="C217" s="434"/>
      <c r="D217" s="434"/>
      <c r="E217" s="436"/>
      <c r="F217" s="55"/>
      <c r="G217" s="55"/>
      <c r="H217" s="136">
        <f t="shared" si="6"/>
        <v>0</v>
      </c>
      <c r="I217" s="136">
        <f t="shared" si="7"/>
        <v>0</v>
      </c>
      <c r="J217" s="73"/>
    </row>
    <row r="218" spans="1:10" s="5" customFormat="1" hidden="1">
      <c r="A218" s="1069"/>
      <c r="B218" s="244"/>
      <c r="C218" s="434"/>
      <c r="D218" s="434"/>
      <c r="E218" s="436"/>
      <c r="F218" s="55"/>
      <c r="G218" s="55"/>
      <c r="H218" s="136">
        <f t="shared" si="6"/>
        <v>0</v>
      </c>
      <c r="I218" s="136">
        <f t="shared" si="7"/>
        <v>0</v>
      </c>
      <c r="J218" s="73"/>
    </row>
    <row r="219" spans="1:10" s="5" customFormat="1" hidden="1">
      <c r="A219" s="1069"/>
      <c r="B219" s="244"/>
      <c r="C219" s="434"/>
      <c r="D219" s="434"/>
      <c r="E219" s="436"/>
      <c r="F219" s="55"/>
      <c r="G219" s="55"/>
      <c r="H219" s="136">
        <f t="shared" si="6"/>
        <v>0</v>
      </c>
      <c r="I219" s="136">
        <f t="shared" si="7"/>
        <v>0</v>
      </c>
      <c r="J219" s="73"/>
    </row>
    <row r="220" spans="1:10" s="5" customFormat="1" hidden="1">
      <c r="A220" s="1069"/>
      <c r="B220" s="244"/>
      <c r="C220" s="434"/>
      <c r="D220" s="434"/>
      <c r="E220" s="436"/>
      <c r="F220" s="55"/>
      <c r="G220" s="55"/>
      <c r="H220" s="136">
        <f t="shared" si="6"/>
        <v>0</v>
      </c>
      <c r="I220" s="136">
        <f t="shared" si="7"/>
        <v>0</v>
      </c>
      <c r="J220" s="73"/>
    </row>
    <row r="221" spans="1:10" s="5" customFormat="1" hidden="1">
      <c r="A221" s="1069"/>
      <c r="B221" s="244"/>
      <c r="C221" s="434"/>
      <c r="D221" s="434"/>
      <c r="E221" s="436"/>
      <c r="F221" s="55"/>
      <c r="G221" s="55"/>
      <c r="H221" s="136">
        <f t="shared" si="6"/>
        <v>0</v>
      </c>
      <c r="I221" s="136">
        <f t="shared" si="7"/>
        <v>0</v>
      </c>
      <c r="J221" s="73"/>
    </row>
    <row r="222" spans="1:10" s="5" customFormat="1" hidden="1">
      <c r="A222" s="1069"/>
      <c r="B222" s="244"/>
      <c r="C222" s="434"/>
      <c r="D222" s="434"/>
      <c r="E222" s="436"/>
      <c r="F222" s="55"/>
      <c r="G222" s="55"/>
      <c r="H222" s="136">
        <f t="shared" si="6"/>
        <v>0</v>
      </c>
      <c r="I222" s="136">
        <f t="shared" si="7"/>
        <v>0</v>
      </c>
      <c r="J222" s="73"/>
    </row>
    <row r="223" spans="1:10" s="5" customFormat="1" hidden="1">
      <c r="A223" s="1069"/>
      <c r="B223" s="244"/>
      <c r="C223" s="434"/>
      <c r="D223" s="434"/>
      <c r="E223" s="436"/>
      <c r="F223" s="55"/>
      <c r="G223" s="55"/>
      <c r="H223" s="136">
        <f t="shared" si="6"/>
        <v>0</v>
      </c>
      <c r="I223" s="136">
        <f t="shared" si="7"/>
        <v>0</v>
      </c>
      <c r="J223" s="73"/>
    </row>
    <row r="224" spans="1:10" s="5" customFormat="1" hidden="1">
      <c r="A224" s="1069"/>
      <c r="B224" s="246"/>
      <c r="C224" s="431"/>
      <c r="D224" s="431"/>
      <c r="E224" s="432"/>
      <c r="F224" s="55"/>
      <c r="G224" s="55"/>
      <c r="H224" s="136">
        <f t="shared" si="6"/>
        <v>0</v>
      </c>
      <c r="I224" s="136">
        <f t="shared" si="7"/>
        <v>0</v>
      </c>
      <c r="J224" s="73"/>
    </row>
    <row r="225" spans="1:10" s="5" customFormat="1" hidden="1">
      <c r="A225" s="1069"/>
      <c r="B225" s="246"/>
      <c r="C225" s="431"/>
      <c r="D225" s="431"/>
      <c r="E225" s="432"/>
      <c r="F225" s="55"/>
      <c r="G225" s="55"/>
      <c r="H225" s="136">
        <f t="shared" si="6"/>
        <v>0</v>
      </c>
      <c r="I225" s="136">
        <f t="shared" si="7"/>
        <v>0</v>
      </c>
      <c r="J225" s="73"/>
    </row>
    <row r="226" spans="1:10" s="5" customFormat="1" hidden="1">
      <c r="A226" s="1069"/>
      <c r="B226" s="246"/>
      <c r="C226" s="431"/>
      <c r="D226" s="431"/>
      <c r="E226" s="432"/>
      <c r="F226" s="55"/>
      <c r="G226" s="55"/>
      <c r="H226" s="136">
        <f t="shared" si="6"/>
        <v>0</v>
      </c>
      <c r="I226" s="136">
        <f t="shared" si="7"/>
        <v>0</v>
      </c>
      <c r="J226" s="73"/>
    </row>
    <row r="227" spans="1:10" s="5" customFormat="1" hidden="1">
      <c r="A227" s="1069"/>
      <c r="B227" s="246"/>
      <c r="C227" s="431"/>
      <c r="D227" s="431"/>
      <c r="E227" s="432"/>
      <c r="F227" s="55"/>
      <c r="G227" s="55"/>
      <c r="H227" s="136">
        <f t="shared" si="6"/>
        <v>0</v>
      </c>
      <c r="I227" s="136">
        <f t="shared" si="7"/>
        <v>0</v>
      </c>
      <c r="J227" s="73"/>
    </row>
    <row r="228" spans="1:10" s="5" customFormat="1" hidden="1">
      <c r="A228" s="1069"/>
      <c r="B228" s="246"/>
      <c r="C228" s="431"/>
      <c r="D228" s="431"/>
      <c r="E228" s="432"/>
      <c r="F228" s="55"/>
      <c r="G228" s="55"/>
      <c r="H228" s="136">
        <f t="shared" si="6"/>
        <v>0</v>
      </c>
      <c r="I228" s="136">
        <f t="shared" si="7"/>
        <v>0</v>
      </c>
      <c r="J228" s="73"/>
    </row>
    <row r="229" spans="1:10" s="5" customFormat="1" hidden="1">
      <c r="A229" s="1069"/>
      <c r="B229" s="246"/>
      <c r="C229" s="431"/>
      <c r="D229" s="431"/>
      <c r="E229" s="432"/>
      <c r="F229" s="55"/>
      <c r="G229" s="55"/>
      <c r="H229" s="136">
        <f t="shared" si="6"/>
        <v>0</v>
      </c>
      <c r="I229" s="136">
        <f t="shared" si="7"/>
        <v>0</v>
      </c>
      <c r="J229" s="73"/>
    </row>
    <row r="230" spans="1:10" s="5" customFormat="1" hidden="1">
      <c r="A230" s="1069"/>
      <c r="B230" s="246"/>
      <c r="C230" s="431"/>
      <c r="D230" s="431"/>
      <c r="E230" s="432"/>
      <c r="F230" s="55"/>
      <c r="G230" s="55"/>
      <c r="H230" s="136">
        <f t="shared" si="6"/>
        <v>0</v>
      </c>
      <c r="I230" s="136">
        <f t="shared" si="7"/>
        <v>0</v>
      </c>
      <c r="J230" s="73"/>
    </row>
    <row r="231" spans="1:10" s="5" customFormat="1" hidden="1">
      <c r="A231" s="1069"/>
      <c r="B231" s="246"/>
      <c r="C231" s="431"/>
      <c r="D231" s="431"/>
      <c r="E231" s="432"/>
      <c r="F231" s="55"/>
      <c r="G231" s="55"/>
      <c r="H231" s="136">
        <f t="shared" si="6"/>
        <v>0</v>
      </c>
      <c r="I231" s="136">
        <f t="shared" si="7"/>
        <v>0</v>
      </c>
      <c r="J231" s="73"/>
    </row>
    <row r="232" spans="1:10" s="5" customFormat="1" hidden="1">
      <c r="A232" s="1069"/>
      <c r="B232" s="246"/>
      <c r="C232" s="431"/>
      <c r="D232" s="431"/>
      <c r="E232" s="432"/>
      <c r="F232" s="55"/>
      <c r="G232" s="55"/>
      <c r="H232" s="136">
        <f t="shared" si="6"/>
        <v>0</v>
      </c>
      <c r="I232" s="136">
        <f t="shared" si="7"/>
        <v>0</v>
      </c>
      <c r="J232" s="73"/>
    </row>
    <row r="233" spans="1:10" s="5" customFormat="1" hidden="1">
      <c r="A233" s="1069"/>
      <c r="B233" s="246"/>
      <c r="C233" s="431"/>
      <c r="D233" s="431"/>
      <c r="E233" s="432"/>
      <c r="F233" s="55"/>
      <c r="G233" s="55"/>
      <c r="H233" s="136">
        <f t="shared" si="6"/>
        <v>0</v>
      </c>
      <c r="I233" s="136">
        <f t="shared" si="7"/>
        <v>0</v>
      </c>
      <c r="J233" s="73"/>
    </row>
    <row r="234" spans="1:10" s="5" customFormat="1" hidden="1">
      <c r="A234" s="1069"/>
      <c r="B234" s="246"/>
      <c r="C234" s="431"/>
      <c r="D234" s="431"/>
      <c r="E234" s="432"/>
      <c r="F234" s="55"/>
      <c r="G234" s="55"/>
      <c r="H234" s="136">
        <f t="shared" si="6"/>
        <v>0</v>
      </c>
      <c r="I234" s="136">
        <f t="shared" si="7"/>
        <v>0</v>
      </c>
      <c r="J234" s="73"/>
    </row>
    <row r="235" spans="1:10" s="5" customFormat="1" hidden="1">
      <c r="A235" s="1069"/>
      <c r="B235" s="246"/>
      <c r="C235" s="431"/>
      <c r="D235" s="431"/>
      <c r="E235" s="432"/>
      <c r="F235" s="55"/>
      <c r="G235" s="55"/>
      <c r="H235" s="136">
        <f t="shared" si="6"/>
        <v>0</v>
      </c>
      <c r="I235" s="136">
        <f t="shared" si="7"/>
        <v>0</v>
      </c>
      <c r="J235" s="73"/>
    </row>
    <row r="236" spans="1:10" s="5" customFormat="1" hidden="1">
      <c r="A236" s="1069"/>
      <c r="B236" s="246"/>
      <c r="C236" s="431"/>
      <c r="D236" s="431"/>
      <c r="E236" s="432"/>
      <c r="F236" s="55"/>
      <c r="G236" s="55"/>
      <c r="H236" s="136">
        <f t="shared" si="6"/>
        <v>0</v>
      </c>
      <c r="I236" s="136">
        <f t="shared" si="7"/>
        <v>0</v>
      </c>
      <c r="J236" s="73"/>
    </row>
    <row r="237" spans="1:10" s="5" customFormat="1" hidden="1">
      <c r="A237" s="1069"/>
      <c r="B237" s="246"/>
      <c r="C237" s="431"/>
      <c r="D237" s="431"/>
      <c r="E237" s="432"/>
      <c r="F237" s="55"/>
      <c r="G237" s="55"/>
      <c r="H237" s="136">
        <f t="shared" si="6"/>
        <v>0</v>
      </c>
      <c r="I237" s="136">
        <f t="shared" si="7"/>
        <v>0</v>
      </c>
      <c r="J237" s="73"/>
    </row>
    <row r="238" spans="1:10" s="5" customFormat="1" hidden="1">
      <c r="A238" s="1069"/>
      <c r="B238" s="246"/>
      <c r="C238" s="431"/>
      <c r="D238" s="431"/>
      <c r="E238" s="432"/>
      <c r="F238" s="55"/>
      <c r="G238" s="55"/>
      <c r="H238" s="136">
        <f t="shared" si="6"/>
        <v>0</v>
      </c>
      <c r="I238" s="136">
        <f t="shared" si="7"/>
        <v>0</v>
      </c>
      <c r="J238" s="73"/>
    </row>
    <row r="239" spans="1:10" s="5" customFormat="1" hidden="1">
      <c r="A239" s="1069"/>
      <c r="B239" s="246"/>
      <c r="C239" s="431"/>
      <c r="D239" s="431"/>
      <c r="E239" s="432"/>
      <c r="F239" s="55"/>
      <c r="G239" s="55"/>
      <c r="H239" s="136">
        <f t="shared" si="6"/>
        <v>0</v>
      </c>
      <c r="I239" s="136">
        <f t="shared" si="7"/>
        <v>0</v>
      </c>
      <c r="J239" s="73"/>
    </row>
    <row r="240" spans="1:10" s="5" customFormat="1" hidden="1">
      <c r="A240" s="1069"/>
      <c r="B240" s="244"/>
      <c r="C240" s="383"/>
      <c r="D240" s="383"/>
      <c r="E240" s="383"/>
      <c r="F240" s="55"/>
      <c r="G240" s="55"/>
      <c r="H240" s="136">
        <f t="shared" si="6"/>
        <v>0</v>
      </c>
      <c r="I240" s="136">
        <f t="shared" si="7"/>
        <v>0</v>
      </c>
      <c r="J240" s="73"/>
    </row>
    <row r="241" spans="1:10" s="5" customFormat="1" hidden="1">
      <c r="A241" s="1069"/>
      <c r="B241" s="244"/>
      <c r="C241" s="430"/>
      <c r="D241" s="430"/>
      <c r="E241" s="430"/>
      <c r="F241" s="55"/>
      <c r="G241" s="55"/>
      <c r="H241" s="136">
        <f t="shared" si="6"/>
        <v>0</v>
      </c>
      <c r="I241" s="136">
        <f t="shared" si="7"/>
        <v>0</v>
      </c>
      <c r="J241" s="73"/>
    </row>
    <row r="242" spans="1:10" s="5" customFormat="1" hidden="1">
      <c r="A242" s="1069"/>
      <c r="B242" s="244"/>
      <c r="C242" s="430"/>
      <c r="D242" s="430"/>
      <c r="E242" s="430"/>
      <c r="F242" s="55"/>
      <c r="G242" s="55"/>
      <c r="H242" s="136">
        <f t="shared" si="6"/>
        <v>0</v>
      </c>
      <c r="I242" s="136">
        <f t="shared" si="7"/>
        <v>0</v>
      </c>
      <c r="J242" s="73"/>
    </row>
    <row r="243" spans="1:10" s="5" customFormat="1" hidden="1">
      <c r="A243" s="1069"/>
      <c r="B243" s="244"/>
      <c r="C243" s="430"/>
      <c r="D243" s="430"/>
      <c r="E243" s="430"/>
      <c r="F243" s="55"/>
      <c r="G243" s="55"/>
      <c r="H243" s="136">
        <f t="shared" si="6"/>
        <v>0</v>
      </c>
      <c r="I243" s="136">
        <f t="shared" si="7"/>
        <v>0</v>
      </c>
      <c r="J243" s="73"/>
    </row>
    <row r="244" spans="1:10">
      <c r="A244" s="1068"/>
      <c r="B244" s="461" t="s">
        <v>253</v>
      </c>
      <c r="C244" s="462">
        <f>SUM(C202:C243)</f>
        <v>210410</v>
      </c>
      <c r="D244" s="462">
        <f>SUM(D202:D243)</f>
        <v>0</v>
      </c>
      <c r="E244" s="462">
        <f>SUM(E202:E243)</f>
        <v>210410</v>
      </c>
      <c r="F244" s="76"/>
      <c r="G244" s="76"/>
      <c r="H244" s="459">
        <f t="shared" si="6"/>
        <v>0</v>
      </c>
      <c r="I244" s="459">
        <f t="shared" si="7"/>
        <v>420820</v>
      </c>
      <c r="J244" s="460"/>
    </row>
    <row r="245" spans="1:10" s="440" customFormat="1" ht="93.75">
      <c r="A245" s="1081" t="s">
        <v>328</v>
      </c>
      <c r="B245" s="310" t="s">
        <v>1052</v>
      </c>
      <c r="C245" s="469">
        <v>144600</v>
      </c>
      <c r="D245" s="469"/>
      <c r="E245" s="469">
        <v>144600</v>
      </c>
      <c r="F245" s="217"/>
      <c r="G245" s="217"/>
      <c r="H245" s="459">
        <f t="shared" si="6"/>
        <v>0</v>
      </c>
      <c r="I245" s="459">
        <f t="shared" si="7"/>
        <v>289200</v>
      </c>
      <c r="J245" s="460"/>
    </row>
    <row r="246" spans="1:10" s="440" customFormat="1" ht="131.25">
      <c r="A246" s="1081"/>
      <c r="B246" s="310" t="s">
        <v>1066</v>
      </c>
      <c r="C246" s="469">
        <v>50000</v>
      </c>
      <c r="D246" s="469">
        <v>50000</v>
      </c>
      <c r="E246" s="469"/>
      <c r="F246" s="151"/>
      <c r="G246" s="151"/>
      <c r="H246" s="459">
        <f t="shared" si="6"/>
        <v>0</v>
      </c>
      <c r="I246" s="459">
        <f t="shared" si="7"/>
        <v>100000</v>
      </c>
      <c r="J246" s="460"/>
    </row>
    <row r="247" spans="1:10" s="440" customFormat="1" ht="131.25">
      <c r="A247" s="1081"/>
      <c r="B247" s="310" t="s">
        <v>1681</v>
      </c>
      <c r="C247" s="453">
        <v>144540</v>
      </c>
      <c r="D247" s="453"/>
      <c r="E247" s="453">
        <v>144540</v>
      </c>
      <c r="F247" s="151"/>
      <c r="G247" s="151"/>
      <c r="H247" s="459">
        <f t="shared" si="6"/>
        <v>0</v>
      </c>
      <c r="I247" s="459">
        <f t="shared" si="7"/>
        <v>289080</v>
      </c>
      <c r="J247" s="460"/>
    </row>
    <row r="248" spans="1:10" s="65" customFormat="1" hidden="1">
      <c r="A248" s="1082"/>
      <c r="B248" s="244"/>
      <c r="C248" s="383"/>
      <c r="D248" s="383"/>
      <c r="E248" s="383"/>
      <c r="F248" s="151"/>
      <c r="G248" s="151"/>
      <c r="H248" s="136">
        <f t="shared" si="6"/>
        <v>0</v>
      </c>
      <c r="I248" s="136">
        <f t="shared" si="7"/>
        <v>0</v>
      </c>
      <c r="J248" s="73"/>
    </row>
    <row r="249" spans="1:10" s="65" customFormat="1" hidden="1">
      <c r="A249" s="1082"/>
      <c r="B249" s="244"/>
      <c r="C249" s="383"/>
      <c r="D249" s="383"/>
      <c r="E249" s="383"/>
      <c r="F249" s="151"/>
      <c r="G249" s="151"/>
      <c r="H249" s="136">
        <f t="shared" si="6"/>
        <v>0</v>
      </c>
      <c r="I249" s="136">
        <f t="shared" si="7"/>
        <v>0</v>
      </c>
      <c r="J249" s="73"/>
    </row>
    <row r="250" spans="1:10" s="65" customFormat="1" hidden="1">
      <c r="A250" s="1082"/>
      <c r="B250" s="244"/>
      <c r="C250" s="383"/>
      <c r="D250" s="383"/>
      <c r="E250" s="383"/>
      <c r="F250" s="151"/>
      <c r="G250" s="151"/>
      <c r="H250" s="136">
        <f t="shared" si="6"/>
        <v>0</v>
      </c>
      <c r="I250" s="136">
        <f t="shared" si="7"/>
        <v>0</v>
      </c>
      <c r="J250" s="73"/>
    </row>
    <row r="251" spans="1:10" s="65" customFormat="1" hidden="1">
      <c r="A251" s="1082"/>
      <c r="B251" s="244"/>
      <c r="C251" s="383"/>
      <c r="D251" s="383"/>
      <c r="E251" s="383"/>
      <c r="F251" s="151"/>
      <c r="G251" s="151"/>
      <c r="H251" s="136">
        <f t="shared" si="6"/>
        <v>0</v>
      </c>
      <c r="I251" s="136">
        <f t="shared" si="7"/>
        <v>0</v>
      </c>
      <c r="J251" s="73"/>
    </row>
    <row r="252" spans="1:10" s="65" customFormat="1" hidden="1">
      <c r="A252" s="1082"/>
      <c r="B252" s="244"/>
      <c r="C252" s="383"/>
      <c r="D252" s="383"/>
      <c r="E252" s="383"/>
      <c r="F252" s="151"/>
      <c r="G252" s="151"/>
      <c r="H252" s="136">
        <f t="shared" si="6"/>
        <v>0</v>
      </c>
      <c r="I252" s="136">
        <f t="shared" si="7"/>
        <v>0</v>
      </c>
      <c r="J252" s="73"/>
    </row>
    <row r="253" spans="1:10" s="65" customFormat="1" hidden="1">
      <c r="A253" s="1082"/>
      <c r="B253" s="244"/>
      <c r="C253" s="383"/>
      <c r="D253" s="383"/>
      <c r="E253" s="383"/>
      <c r="F253" s="151"/>
      <c r="G253" s="151"/>
      <c r="H253" s="136">
        <f t="shared" si="6"/>
        <v>0</v>
      </c>
      <c r="I253" s="136">
        <f t="shared" si="7"/>
        <v>0</v>
      </c>
      <c r="J253" s="73"/>
    </row>
    <row r="254" spans="1:10" s="65" customFormat="1" hidden="1">
      <c r="A254" s="1082"/>
      <c r="B254" s="244"/>
      <c r="C254" s="383"/>
      <c r="D254" s="383"/>
      <c r="E254" s="383"/>
      <c r="F254" s="151"/>
      <c r="G254" s="151"/>
      <c r="H254" s="136">
        <f t="shared" si="6"/>
        <v>0</v>
      </c>
      <c r="I254" s="136">
        <f t="shared" si="7"/>
        <v>0</v>
      </c>
      <c r="J254" s="73"/>
    </row>
    <row r="255" spans="1:10" s="65" customFormat="1" hidden="1">
      <c r="A255" s="1082"/>
      <c r="B255" s="244"/>
      <c r="C255" s="383"/>
      <c r="D255" s="383"/>
      <c r="E255" s="383"/>
      <c r="F255" s="151"/>
      <c r="G255" s="151"/>
      <c r="H255" s="136">
        <f t="shared" si="6"/>
        <v>0</v>
      </c>
      <c r="I255" s="136">
        <f t="shared" si="7"/>
        <v>0</v>
      </c>
      <c r="J255" s="73"/>
    </row>
    <row r="256" spans="1:10" s="65" customFormat="1" hidden="1">
      <c r="A256" s="1082"/>
      <c r="B256" s="244"/>
      <c r="C256" s="383"/>
      <c r="D256" s="383"/>
      <c r="E256" s="383"/>
      <c r="F256" s="151"/>
      <c r="G256" s="151"/>
      <c r="H256" s="136">
        <f t="shared" si="6"/>
        <v>0</v>
      </c>
      <c r="I256" s="136">
        <f t="shared" si="7"/>
        <v>0</v>
      </c>
      <c r="J256" s="73"/>
    </row>
    <row r="257" spans="1:12" s="65" customFormat="1" hidden="1">
      <c r="A257" s="1082"/>
      <c r="B257" s="244"/>
      <c r="C257" s="383"/>
      <c r="D257" s="383"/>
      <c r="E257" s="383"/>
      <c r="F257" s="151"/>
      <c r="G257" s="151"/>
      <c r="H257" s="136">
        <f t="shared" si="6"/>
        <v>0</v>
      </c>
      <c r="I257" s="136">
        <f t="shared" si="7"/>
        <v>0</v>
      </c>
      <c r="J257" s="73"/>
    </row>
    <row r="258" spans="1:12" s="65" customFormat="1" hidden="1">
      <c r="A258" s="1082"/>
      <c r="B258" s="244"/>
      <c r="C258" s="383"/>
      <c r="D258" s="383"/>
      <c r="E258" s="383"/>
      <c r="F258" s="151"/>
      <c r="G258" s="151"/>
      <c r="H258" s="136">
        <f t="shared" si="6"/>
        <v>0</v>
      </c>
      <c r="I258" s="136">
        <f t="shared" si="7"/>
        <v>0</v>
      </c>
      <c r="J258" s="73"/>
    </row>
    <row r="259" spans="1:12" s="65" customFormat="1" hidden="1">
      <c r="A259" s="1082"/>
      <c r="B259" s="244"/>
      <c r="C259" s="383"/>
      <c r="D259" s="383"/>
      <c r="E259" s="383"/>
      <c r="F259" s="151"/>
      <c r="G259" s="151"/>
      <c r="H259" s="136">
        <f t="shared" si="6"/>
        <v>0</v>
      </c>
      <c r="I259" s="136">
        <f t="shared" si="7"/>
        <v>0</v>
      </c>
      <c r="J259" s="73"/>
    </row>
    <row r="260" spans="1:12" s="65" customFormat="1" hidden="1">
      <c r="A260" s="1082"/>
      <c r="B260" s="244"/>
      <c r="C260" s="430"/>
      <c r="D260" s="430"/>
      <c r="E260" s="430"/>
      <c r="F260" s="151"/>
      <c r="G260" s="151"/>
      <c r="H260" s="136">
        <f t="shared" si="6"/>
        <v>0</v>
      </c>
      <c r="I260" s="136">
        <f t="shared" si="7"/>
        <v>0</v>
      </c>
      <c r="J260" s="73"/>
    </row>
    <row r="261" spans="1:12" s="65" customFormat="1" hidden="1">
      <c r="A261" s="1082"/>
      <c r="B261" s="244"/>
      <c r="C261" s="430"/>
      <c r="D261" s="430"/>
      <c r="E261" s="430"/>
      <c r="F261" s="151"/>
      <c r="G261" s="151"/>
      <c r="H261" s="136">
        <f t="shared" si="6"/>
        <v>0</v>
      </c>
      <c r="I261" s="136">
        <f t="shared" si="7"/>
        <v>0</v>
      </c>
      <c r="J261" s="73"/>
    </row>
    <row r="262" spans="1:12" s="65" customFormat="1" hidden="1">
      <c r="A262" s="1082"/>
      <c r="B262" s="244"/>
      <c r="C262" s="383"/>
      <c r="D262" s="383"/>
      <c r="E262" s="383"/>
      <c r="F262" s="151"/>
      <c r="G262" s="151"/>
      <c r="H262" s="136">
        <f t="shared" si="6"/>
        <v>0</v>
      </c>
      <c r="I262" s="136">
        <f t="shared" si="7"/>
        <v>0</v>
      </c>
      <c r="J262" s="73"/>
    </row>
    <row r="263" spans="1:12" s="65" customFormat="1" hidden="1">
      <c r="A263" s="1082"/>
      <c r="B263" s="244"/>
      <c r="C263" s="383"/>
      <c r="D263" s="383"/>
      <c r="E263" s="383"/>
      <c r="F263" s="151"/>
      <c r="G263" s="151"/>
      <c r="H263" s="136">
        <f t="shared" si="6"/>
        <v>0</v>
      </c>
      <c r="I263" s="136">
        <f t="shared" si="7"/>
        <v>0</v>
      </c>
      <c r="J263" s="73"/>
    </row>
    <row r="264" spans="1:12" s="65" customFormat="1" hidden="1">
      <c r="A264" s="1082"/>
      <c r="B264" s="244"/>
      <c r="C264" s="383"/>
      <c r="D264" s="383"/>
      <c r="E264" s="383"/>
      <c r="F264" s="151"/>
      <c r="G264" s="151"/>
      <c r="H264" s="136">
        <f t="shared" si="6"/>
        <v>0</v>
      </c>
      <c r="I264" s="136">
        <f t="shared" si="7"/>
        <v>0</v>
      </c>
      <c r="J264" s="73"/>
    </row>
    <row r="265" spans="1:12" s="65" customFormat="1" hidden="1">
      <c r="A265" s="1082"/>
      <c r="B265" s="244"/>
      <c r="C265" s="383"/>
      <c r="D265" s="383"/>
      <c r="E265" s="430"/>
      <c r="F265" s="151"/>
      <c r="G265" s="151"/>
      <c r="H265" s="136">
        <f t="shared" ref="H265:H328" si="8">E265+D265-C265</f>
        <v>0</v>
      </c>
      <c r="I265" s="136">
        <f t="shared" ref="I265:I328" si="9">SUM(C265:E265)</f>
        <v>0</v>
      </c>
      <c r="J265" s="73"/>
    </row>
    <row r="266" spans="1:12" s="65" customFormat="1" hidden="1">
      <c r="A266" s="1082"/>
      <c r="B266" s="244"/>
      <c r="C266" s="383"/>
      <c r="D266" s="383"/>
      <c r="E266" s="433"/>
      <c r="F266" s="151"/>
      <c r="G266" s="151"/>
      <c r="H266" s="136">
        <f t="shared" si="8"/>
        <v>0</v>
      </c>
      <c r="I266" s="136">
        <f t="shared" si="9"/>
        <v>0</v>
      </c>
      <c r="J266" s="73"/>
    </row>
    <row r="267" spans="1:12" s="65" customFormat="1" hidden="1">
      <c r="A267" s="1082"/>
      <c r="B267" s="244"/>
      <c r="C267" s="383"/>
      <c r="D267" s="383"/>
      <c r="E267" s="433"/>
      <c r="F267" s="151"/>
      <c r="G267" s="151"/>
      <c r="H267" s="136">
        <f t="shared" si="8"/>
        <v>0</v>
      </c>
      <c r="I267" s="136">
        <f t="shared" si="9"/>
        <v>0</v>
      </c>
      <c r="J267" s="73"/>
      <c r="L267" s="368"/>
    </row>
    <row r="268" spans="1:12" s="65" customFormat="1" hidden="1">
      <c r="A268" s="1082"/>
      <c r="B268" s="244"/>
      <c r="C268" s="383"/>
      <c r="D268" s="383"/>
      <c r="E268" s="433"/>
      <c r="F268" s="151"/>
      <c r="G268" s="151"/>
      <c r="H268" s="136">
        <f t="shared" si="8"/>
        <v>0</v>
      </c>
      <c r="I268" s="136">
        <f t="shared" si="9"/>
        <v>0</v>
      </c>
      <c r="J268" s="73"/>
    </row>
    <row r="269" spans="1:12" s="65" customFormat="1" hidden="1">
      <c r="A269" s="1082"/>
      <c r="B269" s="244"/>
      <c r="C269" s="383"/>
      <c r="D269" s="383"/>
      <c r="E269" s="433"/>
      <c r="F269" s="151"/>
      <c r="G269" s="151"/>
      <c r="H269" s="136">
        <f t="shared" si="8"/>
        <v>0</v>
      </c>
      <c r="I269" s="136">
        <f t="shared" si="9"/>
        <v>0</v>
      </c>
      <c r="J269" s="73"/>
    </row>
    <row r="270" spans="1:12" s="65" customFormat="1" hidden="1">
      <c r="A270" s="1082"/>
      <c r="B270" s="244"/>
      <c r="C270" s="383"/>
      <c r="D270" s="383"/>
      <c r="E270" s="433"/>
      <c r="F270" s="151"/>
      <c r="G270" s="151"/>
      <c r="H270" s="136">
        <f t="shared" si="8"/>
        <v>0</v>
      </c>
      <c r="I270" s="136">
        <f t="shared" si="9"/>
        <v>0</v>
      </c>
      <c r="J270" s="73"/>
    </row>
    <row r="271" spans="1:12" s="65" customFormat="1" hidden="1">
      <c r="A271" s="1082"/>
      <c r="B271" s="244"/>
      <c r="C271" s="434"/>
      <c r="D271" s="434"/>
      <c r="E271" s="436"/>
      <c r="F271" s="151"/>
      <c r="G271" s="151"/>
      <c r="H271" s="136">
        <f t="shared" si="8"/>
        <v>0</v>
      </c>
      <c r="I271" s="136">
        <f t="shared" si="9"/>
        <v>0</v>
      </c>
      <c r="J271" s="73"/>
    </row>
    <row r="272" spans="1:12" s="65" customFormat="1" hidden="1">
      <c r="A272" s="1082"/>
      <c r="B272" s="244"/>
      <c r="C272" s="434"/>
      <c r="D272" s="434"/>
      <c r="E272" s="436"/>
      <c r="F272" s="151"/>
      <c r="G272" s="151"/>
      <c r="H272" s="136">
        <f t="shared" si="8"/>
        <v>0</v>
      </c>
      <c r="I272" s="136">
        <f t="shared" si="9"/>
        <v>0</v>
      </c>
      <c r="J272" s="73"/>
    </row>
    <row r="273" spans="1:10" s="65" customFormat="1" hidden="1">
      <c r="A273" s="1082"/>
      <c r="B273" s="244"/>
      <c r="C273" s="434"/>
      <c r="D273" s="434"/>
      <c r="E273" s="436"/>
      <c r="F273" s="151"/>
      <c r="G273" s="151"/>
      <c r="H273" s="136">
        <f t="shared" si="8"/>
        <v>0</v>
      </c>
      <c r="I273" s="136">
        <f t="shared" si="9"/>
        <v>0</v>
      </c>
      <c r="J273" s="73"/>
    </row>
    <row r="274" spans="1:10" s="65" customFormat="1" hidden="1">
      <c r="A274" s="1082"/>
      <c r="B274" s="244"/>
      <c r="C274" s="434"/>
      <c r="D274" s="434"/>
      <c r="E274" s="436"/>
      <c r="F274" s="151"/>
      <c r="G274" s="151"/>
      <c r="H274" s="136">
        <f t="shared" si="8"/>
        <v>0</v>
      </c>
      <c r="I274" s="136">
        <f t="shared" si="9"/>
        <v>0</v>
      </c>
      <c r="J274" s="73"/>
    </row>
    <row r="275" spans="1:10" s="65" customFormat="1" hidden="1">
      <c r="A275" s="1082"/>
      <c r="B275" s="244"/>
      <c r="C275" s="434"/>
      <c r="D275" s="434"/>
      <c r="E275" s="436"/>
      <c r="F275" s="151"/>
      <c r="G275" s="151"/>
      <c r="H275" s="136">
        <f t="shared" si="8"/>
        <v>0</v>
      </c>
      <c r="I275" s="136">
        <f t="shared" si="9"/>
        <v>0</v>
      </c>
      <c r="J275" s="73"/>
    </row>
    <row r="276" spans="1:10" s="65" customFormat="1" hidden="1">
      <c r="A276" s="1082"/>
      <c r="B276" s="244"/>
      <c r="C276" s="434"/>
      <c r="D276" s="434"/>
      <c r="E276" s="436"/>
      <c r="F276" s="151"/>
      <c r="G276" s="151"/>
      <c r="H276" s="136">
        <f t="shared" si="8"/>
        <v>0</v>
      </c>
      <c r="I276" s="136">
        <f t="shared" si="9"/>
        <v>0</v>
      </c>
      <c r="J276" s="73"/>
    </row>
    <row r="277" spans="1:10" s="65" customFormat="1" hidden="1">
      <c r="A277" s="1082"/>
      <c r="B277" s="244"/>
      <c r="C277" s="434"/>
      <c r="D277" s="434"/>
      <c r="E277" s="436"/>
      <c r="F277" s="151"/>
      <c r="G277" s="151"/>
      <c r="H277" s="136">
        <f t="shared" si="8"/>
        <v>0</v>
      </c>
      <c r="I277" s="136">
        <f t="shared" si="9"/>
        <v>0</v>
      </c>
      <c r="J277" s="73"/>
    </row>
    <row r="278" spans="1:10" s="65" customFormat="1" hidden="1">
      <c r="A278" s="1082"/>
      <c r="B278" s="244"/>
      <c r="C278" s="434"/>
      <c r="D278" s="434"/>
      <c r="E278" s="436"/>
      <c r="F278" s="151"/>
      <c r="G278" s="151"/>
      <c r="H278" s="136">
        <f t="shared" si="8"/>
        <v>0</v>
      </c>
      <c r="I278" s="136">
        <f t="shared" si="9"/>
        <v>0</v>
      </c>
      <c r="J278" s="73"/>
    </row>
    <row r="279" spans="1:10" s="65" customFormat="1" hidden="1">
      <c r="A279" s="1082"/>
      <c r="B279" s="244"/>
      <c r="C279" s="434"/>
      <c r="D279" s="434"/>
      <c r="E279" s="436"/>
      <c r="F279" s="151"/>
      <c r="G279" s="151"/>
      <c r="H279" s="136">
        <f t="shared" si="8"/>
        <v>0</v>
      </c>
      <c r="I279" s="136">
        <f t="shared" si="9"/>
        <v>0</v>
      </c>
      <c r="J279" s="73"/>
    </row>
    <row r="280" spans="1:10" s="65" customFormat="1" hidden="1">
      <c r="A280" s="1082"/>
      <c r="B280" s="244"/>
      <c r="C280" s="434"/>
      <c r="D280" s="434"/>
      <c r="E280" s="436"/>
      <c r="F280" s="151"/>
      <c r="G280" s="151"/>
      <c r="H280" s="136">
        <f t="shared" si="8"/>
        <v>0</v>
      </c>
      <c r="I280" s="136">
        <f t="shared" si="9"/>
        <v>0</v>
      </c>
      <c r="J280" s="73"/>
    </row>
    <row r="281" spans="1:10" s="65" customFormat="1" hidden="1">
      <c r="A281" s="1082"/>
      <c r="B281" s="244"/>
      <c r="C281" s="434"/>
      <c r="D281" s="434"/>
      <c r="E281" s="436"/>
      <c r="F281" s="151"/>
      <c r="G281" s="151"/>
      <c r="H281" s="136">
        <f t="shared" si="8"/>
        <v>0</v>
      </c>
      <c r="I281" s="136">
        <f t="shared" si="9"/>
        <v>0</v>
      </c>
      <c r="J281" s="73"/>
    </row>
    <row r="282" spans="1:10" s="65" customFormat="1" hidden="1">
      <c r="A282" s="1082"/>
      <c r="B282" s="244"/>
      <c r="C282" s="434"/>
      <c r="D282" s="434"/>
      <c r="E282" s="436"/>
      <c r="F282" s="151"/>
      <c r="G282" s="151"/>
      <c r="H282" s="136">
        <f t="shared" si="8"/>
        <v>0</v>
      </c>
      <c r="I282" s="136">
        <f t="shared" si="9"/>
        <v>0</v>
      </c>
      <c r="J282" s="73"/>
    </row>
    <row r="283" spans="1:10" s="65" customFormat="1" hidden="1">
      <c r="A283" s="1082"/>
      <c r="B283" s="244"/>
      <c r="C283" s="434"/>
      <c r="D283" s="434"/>
      <c r="E283" s="436"/>
      <c r="F283" s="151"/>
      <c r="G283" s="151"/>
      <c r="H283" s="136">
        <f t="shared" si="8"/>
        <v>0</v>
      </c>
      <c r="I283" s="136">
        <f t="shared" si="9"/>
        <v>0</v>
      </c>
      <c r="J283" s="73"/>
    </row>
    <row r="284" spans="1:10" s="65" customFormat="1" hidden="1">
      <c r="A284" s="1082"/>
      <c r="B284" s="244"/>
      <c r="C284" s="434"/>
      <c r="D284" s="434"/>
      <c r="E284" s="436"/>
      <c r="F284" s="151"/>
      <c r="G284" s="151"/>
      <c r="H284" s="136">
        <f t="shared" si="8"/>
        <v>0</v>
      </c>
      <c r="I284" s="136">
        <f t="shared" si="9"/>
        <v>0</v>
      </c>
      <c r="J284" s="73"/>
    </row>
    <row r="285" spans="1:10" s="65" customFormat="1" hidden="1">
      <c r="A285" s="1082"/>
      <c r="B285" s="244"/>
      <c r="C285" s="434"/>
      <c r="D285" s="434"/>
      <c r="E285" s="436"/>
      <c r="F285" s="151"/>
      <c r="G285" s="151"/>
      <c r="H285" s="136">
        <f t="shared" si="8"/>
        <v>0</v>
      </c>
      <c r="I285" s="136">
        <f t="shared" si="9"/>
        <v>0</v>
      </c>
      <c r="J285" s="73"/>
    </row>
    <row r="286" spans="1:10" s="65" customFormat="1" hidden="1">
      <c r="A286" s="1082"/>
      <c r="B286" s="244"/>
      <c r="C286" s="434"/>
      <c r="D286" s="434"/>
      <c r="E286" s="436"/>
      <c r="F286" s="151"/>
      <c r="G286" s="151"/>
      <c r="H286" s="136">
        <f t="shared" si="8"/>
        <v>0</v>
      </c>
      <c r="I286" s="136">
        <f t="shared" si="9"/>
        <v>0</v>
      </c>
      <c r="J286" s="73"/>
    </row>
    <row r="287" spans="1:10" s="65" customFormat="1" hidden="1">
      <c r="A287" s="1082"/>
      <c r="B287" s="244"/>
      <c r="C287" s="434"/>
      <c r="D287" s="434"/>
      <c r="E287" s="436"/>
      <c r="F287" s="151"/>
      <c r="G287" s="151"/>
      <c r="H287" s="136">
        <f t="shared" si="8"/>
        <v>0</v>
      </c>
      <c r="I287" s="136">
        <f t="shared" si="9"/>
        <v>0</v>
      </c>
      <c r="J287" s="73"/>
    </row>
    <row r="288" spans="1:10" s="65" customFormat="1" hidden="1">
      <c r="A288" s="1082"/>
      <c r="B288" s="244"/>
      <c r="C288" s="430"/>
      <c r="D288" s="430"/>
      <c r="E288" s="430"/>
      <c r="F288" s="151"/>
      <c r="G288" s="151"/>
      <c r="H288" s="136">
        <f t="shared" si="8"/>
        <v>0</v>
      </c>
      <c r="I288" s="136">
        <f t="shared" si="9"/>
        <v>0</v>
      </c>
      <c r="J288" s="73"/>
    </row>
    <row r="289" spans="1:12" s="65" customFormat="1" hidden="1">
      <c r="A289" s="1082"/>
      <c r="B289" s="244"/>
      <c r="C289" s="433"/>
      <c r="D289" s="433"/>
      <c r="E289" s="433"/>
      <c r="F289" s="151"/>
      <c r="G289" s="151"/>
      <c r="H289" s="136">
        <f t="shared" si="8"/>
        <v>0</v>
      </c>
      <c r="I289" s="136">
        <f t="shared" si="9"/>
        <v>0</v>
      </c>
      <c r="J289" s="73"/>
    </row>
    <row r="290" spans="1:12" s="65" customFormat="1" hidden="1">
      <c r="A290" s="1082"/>
      <c r="B290" s="244"/>
      <c r="C290" s="433"/>
      <c r="D290" s="433"/>
      <c r="E290" s="433"/>
      <c r="F290" s="151"/>
      <c r="G290" s="151"/>
      <c r="H290" s="136">
        <f t="shared" si="8"/>
        <v>0</v>
      </c>
      <c r="I290" s="136">
        <f t="shared" si="9"/>
        <v>0</v>
      </c>
      <c r="J290" s="73"/>
    </row>
    <row r="291" spans="1:12" s="65" customFormat="1" hidden="1">
      <c r="A291" s="1082"/>
      <c r="B291" s="244"/>
      <c r="C291" s="383"/>
      <c r="D291" s="383"/>
      <c r="E291" s="383"/>
      <c r="F291" s="151"/>
      <c r="G291" s="151"/>
      <c r="H291" s="136">
        <f t="shared" si="8"/>
        <v>0</v>
      </c>
      <c r="I291" s="136">
        <f t="shared" si="9"/>
        <v>0</v>
      </c>
      <c r="J291" s="73"/>
    </row>
    <row r="292" spans="1:12" s="65" customFormat="1" hidden="1">
      <c r="A292" s="1082"/>
      <c r="B292" s="244"/>
      <c r="C292" s="383"/>
      <c r="D292" s="383"/>
      <c r="E292" s="383"/>
      <c r="F292" s="151"/>
      <c r="G292" s="151"/>
      <c r="H292" s="136">
        <f t="shared" si="8"/>
        <v>0</v>
      </c>
      <c r="I292" s="136">
        <f t="shared" si="9"/>
        <v>0</v>
      </c>
      <c r="J292" s="73"/>
    </row>
    <row r="293" spans="1:12" s="65" customFormat="1" hidden="1">
      <c r="A293" s="1082"/>
      <c r="B293" s="244"/>
      <c r="C293" s="383"/>
      <c r="D293" s="383"/>
      <c r="E293" s="383"/>
      <c r="F293" s="151"/>
      <c r="G293" s="151"/>
      <c r="H293" s="136">
        <f t="shared" si="8"/>
        <v>0</v>
      </c>
      <c r="I293" s="136">
        <f t="shared" si="9"/>
        <v>0</v>
      </c>
      <c r="J293" s="73"/>
    </row>
    <row r="294" spans="1:12" s="65" customFormat="1" hidden="1">
      <c r="A294" s="1082"/>
      <c r="B294" s="244"/>
      <c r="C294" s="383"/>
      <c r="D294" s="383"/>
      <c r="E294" s="383"/>
      <c r="F294" s="151"/>
      <c r="G294" s="151"/>
      <c r="H294" s="136">
        <f t="shared" si="8"/>
        <v>0</v>
      </c>
      <c r="I294" s="136">
        <f t="shared" si="9"/>
        <v>0</v>
      </c>
      <c r="J294" s="73"/>
    </row>
    <row r="295" spans="1:12" s="65" customFormat="1" hidden="1">
      <c r="A295" s="1082"/>
      <c r="B295" s="244"/>
      <c r="C295" s="383"/>
      <c r="D295" s="383"/>
      <c r="E295" s="383"/>
      <c r="F295" s="151"/>
      <c r="G295" s="151"/>
      <c r="H295" s="136">
        <f t="shared" si="8"/>
        <v>0</v>
      </c>
      <c r="I295" s="136">
        <f t="shared" si="9"/>
        <v>0</v>
      </c>
      <c r="J295" s="73"/>
    </row>
    <row r="296" spans="1:12" s="65" customFormat="1" hidden="1">
      <c r="A296" s="1082"/>
      <c r="B296" s="244"/>
      <c r="C296" s="383"/>
      <c r="D296" s="383"/>
      <c r="E296" s="383"/>
      <c r="F296" s="151"/>
      <c r="G296" s="151"/>
      <c r="H296" s="136">
        <f t="shared" si="8"/>
        <v>0</v>
      </c>
      <c r="I296" s="136">
        <f t="shared" si="9"/>
        <v>0</v>
      </c>
      <c r="J296" s="73"/>
    </row>
    <row r="297" spans="1:12" s="440" customFormat="1">
      <c r="A297" s="1081"/>
      <c r="B297" s="461" t="s">
        <v>253</v>
      </c>
      <c r="C297" s="462">
        <f>SUM(C245:C296)</f>
        <v>339140</v>
      </c>
      <c r="D297" s="462">
        <f>SUM(D245:D296)</f>
        <v>50000</v>
      </c>
      <c r="E297" s="462">
        <f>SUM(E245:E296)</f>
        <v>289140</v>
      </c>
      <c r="F297" s="218">
        <f>SUM(F245:F259)</f>
        <v>0</v>
      </c>
      <c r="G297" s="218">
        <f>SUM(G245:G259)</f>
        <v>0</v>
      </c>
      <c r="H297" s="459">
        <f t="shared" si="8"/>
        <v>0</v>
      </c>
      <c r="I297" s="459">
        <f t="shared" si="9"/>
        <v>678280</v>
      </c>
      <c r="J297" s="460"/>
    </row>
    <row r="298" spans="1:12" ht="93.75">
      <c r="A298" s="1068" t="s">
        <v>329</v>
      </c>
      <c r="B298" s="310" t="s">
        <v>1052</v>
      </c>
      <c r="C298" s="469">
        <v>34400</v>
      </c>
      <c r="D298" s="469">
        <f>15500-15500</f>
        <v>0</v>
      </c>
      <c r="E298" s="469">
        <f>20000+14400</f>
        <v>34400</v>
      </c>
      <c r="F298" s="138"/>
      <c r="G298" s="138"/>
      <c r="H298" s="459">
        <f t="shared" si="8"/>
        <v>0</v>
      </c>
      <c r="I298" s="459">
        <f t="shared" si="9"/>
        <v>68800</v>
      </c>
      <c r="J298" s="460"/>
    </row>
    <row r="299" spans="1:12" ht="131.25">
      <c r="A299" s="1068"/>
      <c r="B299" s="310" t="s">
        <v>1681</v>
      </c>
      <c r="C299" s="454">
        <f>3940+1120</f>
        <v>5060</v>
      </c>
      <c r="D299" s="453"/>
      <c r="E299" s="454">
        <f>3940+1120</f>
        <v>5060</v>
      </c>
      <c r="F299" s="55"/>
      <c r="G299" s="55"/>
      <c r="H299" s="459">
        <f t="shared" si="8"/>
        <v>0</v>
      </c>
      <c r="I299" s="459">
        <f t="shared" si="9"/>
        <v>10120</v>
      </c>
      <c r="J299" s="460"/>
      <c r="L299" s="302" t="s">
        <v>1702</v>
      </c>
    </row>
    <row r="300" spans="1:12" s="5" customFormat="1" hidden="1">
      <c r="A300" s="1069"/>
      <c r="B300" s="244"/>
      <c r="C300" s="383"/>
      <c r="D300" s="383"/>
      <c r="E300" s="430"/>
      <c r="F300" s="55"/>
      <c r="G300" s="55"/>
      <c r="H300" s="136">
        <f t="shared" si="8"/>
        <v>0</v>
      </c>
      <c r="I300" s="136">
        <f t="shared" si="9"/>
        <v>0</v>
      </c>
      <c r="J300" s="73"/>
    </row>
    <row r="301" spans="1:12" s="5" customFormat="1" hidden="1">
      <c r="A301" s="1069"/>
      <c r="B301" s="244"/>
      <c r="C301" s="383"/>
      <c r="D301" s="383"/>
      <c r="E301" s="430"/>
      <c r="F301" s="55"/>
      <c r="G301" s="55"/>
      <c r="H301" s="136">
        <f t="shared" si="8"/>
        <v>0</v>
      </c>
      <c r="I301" s="136">
        <f t="shared" si="9"/>
        <v>0</v>
      </c>
      <c r="J301" s="73"/>
    </row>
    <row r="302" spans="1:12" s="5" customFormat="1" hidden="1">
      <c r="A302" s="1069"/>
      <c r="B302" s="244"/>
      <c r="C302" s="383"/>
      <c r="D302" s="383"/>
      <c r="E302" s="430"/>
      <c r="F302" s="55"/>
      <c r="G302" s="55"/>
      <c r="H302" s="136">
        <f t="shared" si="8"/>
        <v>0</v>
      </c>
      <c r="I302" s="136">
        <f t="shared" si="9"/>
        <v>0</v>
      </c>
      <c r="J302" s="73"/>
    </row>
    <row r="303" spans="1:12" s="5" customFormat="1" hidden="1">
      <c r="A303" s="1069"/>
      <c r="B303" s="244"/>
      <c r="C303" s="383"/>
      <c r="D303" s="383"/>
      <c r="E303" s="430"/>
      <c r="F303" s="55"/>
      <c r="G303" s="55"/>
      <c r="H303" s="136">
        <f t="shared" si="8"/>
        <v>0</v>
      </c>
      <c r="I303" s="136">
        <f t="shared" si="9"/>
        <v>0</v>
      </c>
      <c r="J303" s="73"/>
    </row>
    <row r="304" spans="1:12" s="5" customFormat="1" hidden="1">
      <c r="A304" s="1069"/>
      <c r="B304" s="244"/>
      <c r="C304" s="383"/>
      <c r="D304" s="383"/>
      <c r="E304" s="430"/>
      <c r="F304" s="55"/>
      <c r="G304" s="55"/>
      <c r="H304" s="136">
        <f t="shared" si="8"/>
        <v>0</v>
      </c>
      <c r="I304" s="136">
        <f t="shared" si="9"/>
        <v>0</v>
      </c>
      <c r="J304" s="73"/>
    </row>
    <row r="305" spans="1:10" s="5" customFormat="1" hidden="1">
      <c r="A305" s="1069"/>
      <c r="B305" s="244"/>
      <c r="C305" s="383"/>
      <c r="D305" s="383"/>
      <c r="E305" s="430"/>
      <c r="F305" s="55"/>
      <c r="G305" s="55"/>
      <c r="H305" s="136">
        <f t="shared" si="8"/>
        <v>0</v>
      </c>
      <c r="I305" s="136">
        <f t="shared" si="9"/>
        <v>0</v>
      </c>
      <c r="J305" s="73"/>
    </row>
    <row r="306" spans="1:10" s="5" customFormat="1" hidden="1">
      <c r="A306" s="1069"/>
      <c r="B306" s="244"/>
      <c r="C306" s="383"/>
      <c r="D306" s="383"/>
      <c r="E306" s="430"/>
      <c r="F306" s="55"/>
      <c r="G306" s="55"/>
      <c r="H306" s="136">
        <f t="shared" si="8"/>
        <v>0</v>
      </c>
      <c r="I306" s="136">
        <f t="shared" si="9"/>
        <v>0</v>
      </c>
      <c r="J306" s="73"/>
    </row>
    <row r="307" spans="1:10" s="5" customFormat="1" hidden="1">
      <c r="A307" s="1069"/>
      <c r="B307" s="244"/>
      <c r="C307" s="383"/>
      <c r="D307" s="383"/>
      <c r="E307" s="430"/>
      <c r="F307" s="55"/>
      <c r="G307" s="55"/>
      <c r="H307" s="136">
        <f t="shared" si="8"/>
        <v>0</v>
      </c>
      <c r="I307" s="136">
        <f t="shared" si="9"/>
        <v>0</v>
      </c>
      <c r="J307" s="73"/>
    </row>
    <row r="308" spans="1:10" s="5" customFormat="1" hidden="1">
      <c r="A308" s="1069"/>
      <c r="B308" s="244"/>
      <c r="C308" s="383"/>
      <c r="D308" s="383"/>
      <c r="E308" s="430"/>
      <c r="F308" s="55"/>
      <c r="G308" s="55"/>
      <c r="H308" s="136">
        <f t="shared" si="8"/>
        <v>0</v>
      </c>
      <c r="I308" s="136">
        <f t="shared" si="9"/>
        <v>0</v>
      </c>
      <c r="J308" s="73"/>
    </row>
    <row r="309" spans="1:10" s="5" customFormat="1" hidden="1">
      <c r="A309" s="1069"/>
      <c r="B309" s="244"/>
      <c r="C309" s="383"/>
      <c r="D309" s="383"/>
      <c r="E309" s="430"/>
      <c r="F309" s="55"/>
      <c r="G309" s="55"/>
      <c r="H309" s="136">
        <f t="shared" si="8"/>
        <v>0</v>
      </c>
      <c r="I309" s="136">
        <f t="shared" si="9"/>
        <v>0</v>
      </c>
      <c r="J309" s="73"/>
    </row>
    <row r="310" spans="1:10" s="5" customFormat="1" hidden="1">
      <c r="A310" s="1069"/>
      <c r="B310" s="244"/>
      <c r="C310" s="383"/>
      <c r="D310" s="383"/>
      <c r="E310" s="430"/>
      <c r="F310" s="55"/>
      <c r="G310" s="55"/>
      <c r="H310" s="136">
        <f t="shared" si="8"/>
        <v>0</v>
      </c>
      <c r="I310" s="136">
        <f t="shared" si="9"/>
        <v>0</v>
      </c>
      <c r="J310" s="73"/>
    </row>
    <row r="311" spans="1:10" s="5" customFormat="1" hidden="1">
      <c r="A311" s="1069"/>
      <c r="B311" s="246"/>
      <c r="C311" s="434"/>
      <c r="D311" s="434"/>
      <c r="E311" s="435"/>
      <c r="F311" s="55"/>
      <c r="G311" s="55"/>
      <c r="H311" s="136">
        <f t="shared" si="8"/>
        <v>0</v>
      </c>
      <c r="I311" s="136">
        <f t="shared" si="9"/>
        <v>0</v>
      </c>
      <c r="J311" s="73"/>
    </row>
    <row r="312" spans="1:10" s="5" customFormat="1" hidden="1">
      <c r="A312" s="1069"/>
      <c r="B312" s="246"/>
      <c r="C312" s="434"/>
      <c r="D312" s="434"/>
      <c r="E312" s="435"/>
      <c r="F312" s="55"/>
      <c r="G312" s="55"/>
      <c r="H312" s="136">
        <f t="shared" si="8"/>
        <v>0</v>
      </c>
      <c r="I312" s="136">
        <f t="shared" si="9"/>
        <v>0</v>
      </c>
      <c r="J312" s="73"/>
    </row>
    <row r="313" spans="1:10" s="5" customFormat="1" hidden="1">
      <c r="A313" s="1069"/>
      <c r="B313" s="246"/>
      <c r="C313" s="434"/>
      <c r="D313" s="434"/>
      <c r="E313" s="435"/>
      <c r="F313" s="55"/>
      <c r="G313" s="55"/>
      <c r="H313" s="136">
        <f t="shared" si="8"/>
        <v>0</v>
      </c>
      <c r="I313" s="136">
        <f t="shared" si="9"/>
        <v>0</v>
      </c>
      <c r="J313" s="73"/>
    </row>
    <row r="314" spans="1:10" s="5" customFormat="1" hidden="1">
      <c r="A314" s="1069"/>
      <c r="B314" s="246"/>
      <c r="C314" s="434"/>
      <c r="D314" s="434"/>
      <c r="E314" s="435"/>
      <c r="F314" s="55"/>
      <c r="G314" s="55"/>
      <c r="H314" s="136">
        <f t="shared" si="8"/>
        <v>0</v>
      </c>
      <c r="I314" s="136">
        <f t="shared" si="9"/>
        <v>0</v>
      </c>
      <c r="J314" s="73"/>
    </row>
    <row r="315" spans="1:10" s="5" customFormat="1" hidden="1">
      <c r="A315" s="1069"/>
      <c r="B315" s="246"/>
      <c r="C315" s="434"/>
      <c r="D315" s="434"/>
      <c r="E315" s="435"/>
      <c r="F315" s="55"/>
      <c r="G315" s="55"/>
      <c r="H315" s="136">
        <f t="shared" si="8"/>
        <v>0</v>
      </c>
      <c r="I315" s="136">
        <f t="shared" si="9"/>
        <v>0</v>
      </c>
      <c r="J315" s="73"/>
    </row>
    <row r="316" spans="1:10" s="5" customFormat="1" hidden="1">
      <c r="A316" s="1069"/>
      <c r="B316" s="246"/>
      <c r="C316" s="434"/>
      <c r="D316" s="434"/>
      <c r="E316" s="435"/>
      <c r="F316" s="55"/>
      <c r="G316" s="55"/>
      <c r="H316" s="136">
        <f t="shared" si="8"/>
        <v>0</v>
      </c>
      <c r="I316" s="136">
        <f t="shared" si="9"/>
        <v>0</v>
      </c>
      <c r="J316" s="73"/>
    </row>
    <row r="317" spans="1:10" s="5" customFormat="1" hidden="1">
      <c r="A317" s="1069"/>
      <c r="B317" s="246"/>
      <c r="C317" s="434"/>
      <c r="D317" s="434"/>
      <c r="E317" s="435"/>
      <c r="F317" s="55"/>
      <c r="G317" s="55"/>
      <c r="H317" s="136">
        <f t="shared" si="8"/>
        <v>0</v>
      </c>
      <c r="I317" s="136">
        <f t="shared" si="9"/>
        <v>0</v>
      </c>
      <c r="J317" s="73"/>
    </row>
    <row r="318" spans="1:10" s="5" customFormat="1" hidden="1">
      <c r="A318" s="1069"/>
      <c r="B318" s="246"/>
      <c r="C318" s="434"/>
      <c r="D318" s="434"/>
      <c r="E318" s="435"/>
      <c r="F318" s="55"/>
      <c r="G318" s="55"/>
      <c r="H318" s="136">
        <f t="shared" si="8"/>
        <v>0</v>
      </c>
      <c r="I318" s="136">
        <f t="shared" si="9"/>
        <v>0</v>
      </c>
      <c r="J318" s="73"/>
    </row>
    <row r="319" spans="1:10" s="5" customFormat="1" hidden="1">
      <c r="A319" s="1069"/>
      <c r="B319" s="246"/>
      <c r="C319" s="434"/>
      <c r="D319" s="434"/>
      <c r="E319" s="435"/>
      <c r="F319" s="55"/>
      <c r="G319" s="55"/>
      <c r="H319" s="136">
        <f t="shared" si="8"/>
        <v>0</v>
      </c>
      <c r="I319" s="136">
        <f t="shared" si="9"/>
        <v>0</v>
      </c>
      <c r="J319" s="73"/>
    </row>
    <row r="320" spans="1:10" s="5" customFormat="1" hidden="1">
      <c r="A320" s="1069"/>
      <c r="B320" s="246"/>
      <c r="C320" s="434"/>
      <c r="D320" s="434"/>
      <c r="E320" s="435"/>
      <c r="F320" s="55"/>
      <c r="G320" s="55"/>
      <c r="H320" s="136">
        <f t="shared" si="8"/>
        <v>0</v>
      </c>
      <c r="I320" s="136">
        <f t="shared" si="9"/>
        <v>0</v>
      </c>
      <c r="J320" s="73"/>
    </row>
    <row r="321" spans="1:10" s="5" customFormat="1" hidden="1">
      <c r="A321" s="1069"/>
      <c r="B321" s="246"/>
      <c r="C321" s="434"/>
      <c r="D321" s="434"/>
      <c r="E321" s="435"/>
      <c r="F321" s="55"/>
      <c r="G321" s="55"/>
      <c r="H321" s="136">
        <f t="shared" si="8"/>
        <v>0</v>
      </c>
      <c r="I321" s="136">
        <f t="shared" si="9"/>
        <v>0</v>
      </c>
      <c r="J321" s="73"/>
    </row>
    <row r="322" spans="1:10" s="5" customFormat="1" hidden="1">
      <c r="A322" s="1069"/>
      <c r="B322" s="246"/>
      <c r="C322" s="434"/>
      <c r="D322" s="434"/>
      <c r="E322" s="435"/>
      <c r="F322" s="55"/>
      <c r="G322" s="55"/>
      <c r="H322" s="136">
        <f t="shared" si="8"/>
        <v>0</v>
      </c>
      <c r="I322" s="136">
        <f t="shared" si="9"/>
        <v>0</v>
      </c>
      <c r="J322" s="73"/>
    </row>
    <row r="323" spans="1:10" s="5" customFormat="1" hidden="1">
      <c r="A323" s="1069"/>
      <c r="B323" s="246"/>
      <c r="C323" s="434"/>
      <c r="D323" s="434"/>
      <c r="E323" s="435"/>
      <c r="F323" s="55"/>
      <c r="G323" s="55"/>
      <c r="H323" s="136">
        <f t="shared" si="8"/>
        <v>0</v>
      </c>
      <c r="I323" s="136">
        <f t="shared" si="9"/>
        <v>0</v>
      </c>
      <c r="J323" s="73"/>
    </row>
    <row r="324" spans="1:10" s="5" customFormat="1" hidden="1">
      <c r="A324" s="1069"/>
      <c r="B324" s="246"/>
      <c r="C324" s="434"/>
      <c r="D324" s="434"/>
      <c r="E324" s="435"/>
      <c r="F324" s="55"/>
      <c r="G324" s="55"/>
      <c r="H324" s="136">
        <f t="shared" si="8"/>
        <v>0</v>
      </c>
      <c r="I324" s="136">
        <f t="shared" si="9"/>
        <v>0</v>
      </c>
      <c r="J324" s="73"/>
    </row>
    <row r="325" spans="1:10" s="5" customFormat="1" hidden="1">
      <c r="A325" s="1069"/>
      <c r="B325" s="249"/>
      <c r="C325" s="433"/>
      <c r="D325" s="383"/>
      <c r="E325" s="433"/>
      <c r="F325" s="55"/>
      <c r="G325" s="55"/>
      <c r="H325" s="136">
        <f t="shared" si="8"/>
        <v>0</v>
      </c>
      <c r="I325" s="136">
        <f t="shared" si="9"/>
        <v>0</v>
      </c>
      <c r="J325" s="73"/>
    </row>
    <row r="326" spans="1:10" s="5" customFormat="1" hidden="1">
      <c r="A326" s="1069"/>
      <c r="B326" s="249"/>
      <c r="C326" s="433"/>
      <c r="D326" s="383"/>
      <c r="E326" s="433"/>
      <c r="F326" s="55"/>
      <c r="G326" s="55"/>
      <c r="H326" s="136">
        <f t="shared" si="8"/>
        <v>0</v>
      </c>
      <c r="I326" s="136">
        <f t="shared" si="9"/>
        <v>0</v>
      </c>
      <c r="J326" s="73"/>
    </row>
    <row r="327" spans="1:10">
      <c r="A327" s="1068"/>
      <c r="B327" s="461" t="s">
        <v>253</v>
      </c>
      <c r="C327" s="462">
        <f>SUM(C298:C326)</f>
        <v>39460</v>
      </c>
      <c r="D327" s="462">
        <f>SUM(D298:D326)</f>
        <v>0</v>
      </c>
      <c r="E327" s="462">
        <f>SUM(E298:E326)</f>
        <v>39460</v>
      </c>
      <c r="F327" s="75">
        <f>SUM(F298:F299)</f>
        <v>0</v>
      </c>
      <c r="G327" s="75">
        <f>SUM(G298:G299)</f>
        <v>0</v>
      </c>
      <c r="H327" s="459">
        <f t="shared" si="8"/>
        <v>0</v>
      </c>
      <c r="I327" s="459">
        <f t="shared" si="9"/>
        <v>78920</v>
      </c>
      <c r="J327" s="460"/>
    </row>
    <row r="328" spans="1:10" ht="93.75">
      <c r="A328" s="1068" t="s">
        <v>330</v>
      </c>
      <c r="B328" s="310" t="s">
        <v>1821</v>
      </c>
      <c r="C328" s="453">
        <v>124400</v>
      </c>
      <c r="D328" s="453"/>
      <c r="E328" s="453">
        <v>124400</v>
      </c>
      <c r="F328" s="138"/>
      <c r="G328" s="138"/>
      <c r="H328" s="459">
        <f t="shared" si="8"/>
        <v>0</v>
      </c>
      <c r="I328" s="459">
        <f t="shared" si="9"/>
        <v>248800</v>
      </c>
      <c r="J328" s="460"/>
    </row>
    <row r="329" spans="1:10" ht="131.25">
      <c r="A329" s="1068"/>
      <c r="B329" s="310" t="s">
        <v>1681</v>
      </c>
      <c r="C329" s="456">
        <v>137970</v>
      </c>
      <c r="D329" s="456"/>
      <c r="E329" s="456">
        <v>137970</v>
      </c>
      <c r="F329" s="365"/>
      <c r="G329" s="365"/>
      <c r="H329" s="459">
        <f t="shared" ref="H329:H392" si="10">E329+D329-C329</f>
        <v>0</v>
      </c>
      <c r="I329" s="459">
        <f t="shared" ref="I329:I392" si="11">SUM(C329:E329)</f>
        <v>275940</v>
      </c>
      <c r="J329" s="460"/>
    </row>
    <row r="330" spans="1:10" s="5" customFormat="1" hidden="1">
      <c r="A330" s="1069"/>
      <c r="B330" s="249"/>
      <c r="C330" s="430"/>
      <c r="D330" s="430"/>
      <c r="E330" s="430"/>
      <c r="F330" s="55"/>
      <c r="G330" s="55"/>
      <c r="H330" s="136">
        <f t="shared" si="10"/>
        <v>0</v>
      </c>
      <c r="I330" s="136">
        <f t="shared" si="11"/>
        <v>0</v>
      </c>
      <c r="J330" s="73"/>
    </row>
    <row r="331" spans="1:10" s="5" customFormat="1" hidden="1">
      <c r="A331" s="1069"/>
      <c r="B331" s="244"/>
      <c r="C331" s="383"/>
      <c r="D331" s="383"/>
      <c r="E331" s="430"/>
      <c r="F331" s="55"/>
      <c r="G331" s="55"/>
      <c r="H331" s="136">
        <f t="shared" si="10"/>
        <v>0</v>
      </c>
      <c r="I331" s="136">
        <f t="shared" si="11"/>
        <v>0</v>
      </c>
      <c r="J331" s="73"/>
    </row>
    <row r="332" spans="1:10" s="5" customFormat="1" hidden="1">
      <c r="A332" s="1069"/>
      <c r="B332" s="244"/>
      <c r="C332" s="383"/>
      <c r="D332" s="383"/>
      <c r="E332" s="430"/>
      <c r="F332" s="55"/>
      <c r="G332" s="55"/>
      <c r="H332" s="136">
        <f t="shared" si="10"/>
        <v>0</v>
      </c>
      <c r="I332" s="136">
        <f t="shared" si="11"/>
        <v>0</v>
      </c>
      <c r="J332" s="73"/>
    </row>
    <row r="333" spans="1:10" s="5" customFormat="1" hidden="1">
      <c r="A333" s="1069"/>
      <c r="B333" s="244"/>
      <c r="C333" s="383"/>
      <c r="D333" s="383"/>
      <c r="E333" s="430"/>
      <c r="F333" s="55"/>
      <c r="G333" s="55"/>
      <c r="H333" s="136">
        <f t="shared" si="10"/>
        <v>0</v>
      </c>
      <c r="I333" s="136">
        <f t="shared" si="11"/>
        <v>0</v>
      </c>
      <c r="J333" s="73"/>
    </row>
    <row r="334" spans="1:10" s="5" customFormat="1" hidden="1">
      <c r="A334" s="1069"/>
      <c r="B334" s="244"/>
      <c r="C334" s="383"/>
      <c r="D334" s="383"/>
      <c r="E334" s="430"/>
      <c r="F334" s="55"/>
      <c r="G334" s="55"/>
      <c r="H334" s="136">
        <f t="shared" si="10"/>
        <v>0</v>
      </c>
      <c r="I334" s="136">
        <f t="shared" si="11"/>
        <v>0</v>
      </c>
      <c r="J334" s="73"/>
    </row>
    <row r="335" spans="1:10" s="5" customFormat="1" hidden="1">
      <c r="A335" s="1069"/>
      <c r="B335" s="244"/>
      <c r="C335" s="383"/>
      <c r="D335" s="383"/>
      <c r="E335" s="430"/>
      <c r="F335" s="55"/>
      <c r="G335" s="55"/>
      <c r="H335" s="136">
        <f t="shared" si="10"/>
        <v>0</v>
      </c>
      <c r="I335" s="136">
        <f t="shared" si="11"/>
        <v>0</v>
      </c>
      <c r="J335" s="73"/>
    </row>
    <row r="336" spans="1:10" s="5" customFormat="1" hidden="1">
      <c r="A336" s="1069"/>
      <c r="B336" s="244"/>
      <c r="C336" s="383"/>
      <c r="D336" s="383"/>
      <c r="E336" s="430"/>
      <c r="F336" s="55"/>
      <c r="G336" s="55"/>
      <c r="H336" s="136">
        <f t="shared" si="10"/>
        <v>0</v>
      </c>
      <c r="I336" s="136">
        <f t="shared" si="11"/>
        <v>0</v>
      </c>
      <c r="J336" s="73"/>
    </row>
    <row r="337" spans="1:10" s="5" customFormat="1" hidden="1">
      <c r="A337" s="1069"/>
      <c r="B337" s="244"/>
      <c r="C337" s="383"/>
      <c r="D337" s="383"/>
      <c r="E337" s="430"/>
      <c r="F337" s="55"/>
      <c r="G337" s="55"/>
      <c r="H337" s="136">
        <f t="shared" si="10"/>
        <v>0</v>
      </c>
      <c r="I337" s="136">
        <f t="shared" si="11"/>
        <v>0</v>
      </c>
      <c r="J337" s="73"/>
    </row>
    <row r="338" spans="1:10" s="5" customFormat="1" hidden="1">
      <c r="A338" s="1069"/>
      <c r="B338" s="244"/>
      <c r="C338" s="383"/>
      <c r="D338" s="383"/>
      <c r="E338" s="430"/>
      <c r="F338" s="55"/>
      <c r="G338" s="55"/>
      <c r="H338" s="136">
        <f t="shared" si="10"/>
        <v>0</v>
      </c>
      <c r="I338" s="136">
        <f t="shared" si="11"/>
        <v>0</v>
      </c>
      <c r="J338" s="73"/>
    </row>
    <row r="339" spans="1:10" s="5" customFormat="1" hidden="1">
      <c r="A339" s="1069"/>
      <c r="B339" s="244"/>
      <c r="C339" s="383"/>
      <c r="D339" s="383"/>
      <c r="E339" s="430"/>
      <c r="F339" s="55"/>
      <c r="G339" s="55"/>
      <c r="H339" s="136">
        <f t="shared" si="10"/>
        <v>0</v>
      </c>
      <c r="I339" s="136">
        <f t="shared" si="11"/>
        <v>0</v>
      </c>
      <c r="J339" s="73"/>
    </row>
    <row r="340" spans="1:10" s="5" customFormat="1" hidden="1">
      <c r="A340" s="1069"/>
      <c r="B340" s="249"/>
      <c r="C340" s="430"/>
      <c r="D340" s="383"/>
      <c r="E340" s="430"/>
      <c r="F340" s="55"/>
      <c r="G340" s="55"/>
      <c r="H340" s="136">
        <f t="shared" si="10"/>
        <v>0</v>
      </c>
      <c r="I340" s="136">
        <f t="shared" si="11"/>
        <v>0</v>
      </c>
      <c r="J340" s="73"/>
    </row>
    <row r="341" spans="1:10" s="5" customFormat="1" hidden="1">
      <c r="A341" s="1069"/>
      <c r="B341" s="244"/>
      <c r="C341" s="383"/>
      <c r="D341" s="383"/>
      <c r="E341" s="430"/>
      <c r="F341" s="55"/>
      <c r="G341" s="55"/>
      <c r="H341" s="136">
        <f t="shared" si="10"/>
        <v>0</v>
      </c>
      <c r="I341" s="136">
        <f t="shared" si="11"/>
        <v>0</v>
      </c>
      <c r="J341" s="73"/>
    </row>
    <row r="342" spans="1:10" s="5" customFormat="1" hidden="1">
      <c r="A342" s="1069"/>
      <c r="B342" s="244"/>
      <c r="C342" s="430"/>
      <c r="D342" s="430"/>
      <c r="E342" s="430"/>
      <c r="F342" s="55"/>
      <c r="G342" s="55"/>
      <c r="H342" s="136">
        <f t="shared" si="10"/>
        <v>0</v>
      </c>
      <c r="I342" s="136">
        <f t="shared" si="11"/>
        <v>0</v>
      </c>
      <c r="J342" s="73"/>
    </row>
    <row r="343" spans="1:10" s="5" customFormat="1" hidden="1">
      <c r="A343" s="1069"/>
      <c r="B343" s="244"/>
      <c r="C343" s="383"/>
      <c r="D343" s="383"/>
      <c r="E343" s="430"/>
      <c r="F343" s="55"/>
      <c r="G343" s="55"/>
      <c r="H343" s="136">
        <f t="shared" si="10"/>
        <v>0</v>
      </c>
      <c r="I343" s="136">
        <f t="shared" si="11"/>
        <v>0</v>
      </c>
      <c r="J343" s="73"/>
    </row>
    <row r="344" spans="1:10" s="5" customFormat="1" hidden="1">
      <c r="A344" s="1069"/>
      <c r="B344" s="244"/>
      <c r="C344" s="383"/>
      <c r="D344" s="383"/>
      <c r="E344" s="430"/>
      <c r="F344" s="55"/>
      <c r="G344" s="55"/>
      <c r="H344" s="136">
        <f t="shared" si="10"/>
        <v>0</v>
      </c>
      <c r="I344" s="136">
        <f t="shared" si="11"/>
        <v>0</v>
      </c>
      <c r="J344" s="73"/>
    </row>
    <row r="345" spans="1:10" s="5" customFormat="1" hidden="1">
      <c r="A345" s="1069"/>
      <c r="B345" s="244"/>
      <c r="C345" s="430"/>
      <c r="D345" s="430"/>
      <c r="E345" s="430"/>
      <c r="F345" s="55"/>
      <c r="G345" s="55"/>
      <c r="H345" s="136">
        <f t="shared" si="10"/>
        <v>0</v>
      </c>
      <c r="I345" s="136">
        <f t="shared" si="11"/>
        <v>0</v>
      </c>
      <c r="J345" s="73"/>
    </row>
    <row r="346" spans="1:10" s="5" customFormat="1" hidden="1">
      <c r="A346" s="1069"/>
      <c r="B346" s="244"/>
      <c r="C346" s="430"/>
      <c r="D346" s="430"/>
      <c r="E346" s="430"/>
      <c r="F346" s="55"/>
      <c r="G346" s="55"/>
      <c r="H346" s="136">
        <f t="shared" si="10"/>
        <v>0</v>
      </c>
      <c r="I346" s="136">
        <f t="shared" si="11"/>
        <v>0</v>
      </c>
      <c r="J346" s="73"/>
    </row>
    <row r="347" spans="1:10" s="5" customFormat="1" hidden="1">
      <c r="A347" s="1069"/>
      <c r="B347" s="244"/>
      <c r="C347" s="383"/>
      <c r="D347" s="383"/>
      <c r="E347" s="430"/>
      <c r="F347" s="55"/>
      <c r="G347" s="55"/>
      <c r="H347" s="136">
        <f t="shared" si="10"/>
        <v>0</v>
      </c>
      <c r="I347" s="136">
        <f t="shared" si="11"/>
        <v>0</v>
      </c>
      <c r="J347" s="73"/>
    </row>
    <row r="348" spans="1:10" s="5" customFormat="1" hidden="1">
      <c r="A348" s="1069"/>
      <c r="B348" s="244"/>
      <c r="C348" s="383"/>
      <c r="D348" s="383"/>
      <c r="E348" s="430"/>
      <c r="F348" s="55"/>
      <c r="G348" s="55"/>
      <c r="H348" s="136">
        <f t="shared" si="10"/>
        <v>0</v>
      </c>
      <c r="I348" s="136">
        <f t="shared" si="11"/>
        <v>0</v>
      </c>
      <c r="J348" s="73"/>
    </row>
    <row r="349" spans="1:10" s="5" customFormat="1" hidden="1">
      <c r="A349" s="1069"/>
      <c r="B349" s="244"/>
      <c r="C349" s="383"/>
      <c r="D349" s="383"/>
      <c r="E349" s="430"/>
      <c r="F349" s="55"/>
      <c r="G349" s="55"/>
      <c r="H349" s="136">
        <f t="shared" si="10"/>
        <v>0</v>
      </c>
      <c r="I349" s="136">
        <f t="shared" si="11"/>
        <v>0</v>
      </c>
      <c r="J349" s="73"/>
    </row>
    <row r="350" spans="1:10" s="5" customFormat="1" hidden="1">
      <c r="A350" s="1069"/>
      <c r="B350" s="244"/>
      <c r="C350" s="383"/>
      <c r="D350" s="383"/>
      <c r="E350" s="430"/>
      <c r="F350" s="55"/>
      <c r="G350" s="55"/>
      <c r="H350" s="136">
        <f t="shared" si="10"/>
        <v>0</v>
      </c>
      <c r="I350" s="136">
        <f t="shared" si="11"/>
        <v>0</v>
      </c>
      <c r="J350" s="73"/>
    </row>
    <row r="351" spans="1:10" s="5" customFormat="1" hidden="1">
      <c r="A351" s="1069"/>
      <c r="B351" s="244"/>
      <c r="C351" s="383"/>
      <c r="D351" s="383"/>
      <c r="E351" s="430"/>
      <c r="F351" s="55"/>
      <c r="G351" s="55"/>
      <c r="H351" s="136">
        <f t="shared" si="10"/>
        <v>0</v>
      </c>
      <c r="I351" s="136">
        <f t="shared" si="11"/>
        <v>0</v>
      </c>
      <c r="J351" s="73"/>
    </row>
    <row r="352" spans="1:10" s="5" customFormat="1" hidden="1">
      <c r="A352" s="1069"/>
      <c r="B352" s="244"/>
      <c r="C352" s="383"/>
      <c r="D352" s="383"/>
      <c r="E352" s="430"/>
      <c r="F352" s="55"/>
      <c r="G352" s="55"/>
      <c r="H352" s="136">
        <f t="shared" si="10"/>
        <v>0</v>
      </c>
      <c r="I352" s="136">
        <f t="shared" si="11"/>
        <v>0</v>
      </c>
      <c r="J352" s="73"/>
    </row>
    <row r="353" spans="1:10" s="5" customFormat="1" hidden="1">
      <c r="A353" s="1069"/>
      <c r="B353" s="244"/>
      <c r="C353" s="383"/>
      <c r="D353" s="383"/>
      <c r="E353" s="430"/>
      <c r="F353" s="55"/>
      <c r="G353" s="55"/>
      <c r="H353" s="136">
        <f t="shared" si="10"/>
        <v>0</v>
      </c>
      <c r="I353" s="136">
        <f t="shared" si="11"/>
        <v>0</v>
      </c>
      <c r="J353" s="73"/>
    </row>
    <row r="354" spans="1:10" s="5" customFormat="1" hidden="1">
      <c r="A354" s="1069"/>
      <c r="B354" s="244"/>
      <c r="C354" s="383"/>
      <c r="D354" s="383"/>
      <c r="E354" s="430"/>
      <c r="F354" s="55"/>
      <c r="G354" s="55"/>
      <c r="H354" s="136">
        <f t="shared" si="10"/>
        <v>0</v>
      </c>
      <c r="I354" s="136">
        <f t="shared" si="11"/>
        <v>0</v>
      </c>
      <c r="J354" s="73"/>
    </row>
    <row r="355" spans="1:10" s="5" customFormat="1" hidden="1">
      <c r="A355" s="1069"/>
      <c r="B355" s="244"/>
      <c r="C355" s="383"/>
      <c r="D355" s="383"/>
      <c r="E355" s="430"/>
      <c r="F355" s="55"/>
      <c r="G355" s="55"/>
      <c r="H355" s="136">
        <f t="shared" si="10"/>
        <v>0</v>
      </c>
      <c r="I355" s="136">
        <f t="shared" si="11"/>
        <v>0</v>
      </c>
      <c r="J355" s="73"/>
    </row>
    <row r="356" spans="1:10" s="5" customFormat="1" hidden="1">
      <c r="A356" s="1069"/>
      <c r="B356" s="244"/>
      <c r="C356" s="383"/>
      <c r="D356" s="383"/>
      <c r="E356" s="430"/>
      <c r="F356" s="55"/>
      <c r="G356" s="55"/>
      <c r="H356" s="136">
        <f t="shared" si="10"/>
        <v>0</v>
      </c>
      <c r="I356" s="136">
        <f t="shared" si="11"/>
        <v>0</v>
      </c>
      <c r="J356" s="73"/>
    </row>
    <row r="357" spans="1:10" s="5" customFormat="1" hidden="1">
      <c r="A357" s="1069"/>
      <c r="B357" s="244"/>
      <c r="C357" s="383"/>
      <c r="D357" s="383"/>
      <c r="E357" s="430"/>
      <c r="F357" s="55"/>
      <c r="G357" s="55"/>
      <c r="H357" s="136">
        <f t="shared" si="10"/>
        <v>0</v>
      </c>
      <c r="I357" s="136">
        <f t="shared" si="11"/>
        <v>0</v>
      </c>
      <c r="J357" s="73"/>
    </row>
    <row r="358" spans="1:10" s="5" customFormat="1" hidden="1">
      <c r="A358" s="1069"/>
      <c r="B358" s="244"/>
      <c r="C358" s="383"/>
      <c r="D358" s="383"/>
      <c r="E358" s="430"/>
      <c r="F358" s="55"/>
      <c r="G358" s="55"/>
      <c r="H358" s="136">
        <f t="shared" si="10"/>
        <v>0</v>
      </c>
      <c r="I358" s="136">
        <f t="shared" si="11"/>
        <v>0</v>
      </c>
      <c r="J358" s="73"/>
    </row>
    <row r="359" spans="1:10" s="5" customFormat="1" hidden="1">
      <c r="A359" s="1069"/>
      <c r="B359" s="246"/>
      <c r="C359" s="431"/>
      <c r="D359" s="431"/>
      <c r="E359" s="432"/>
      <c r="F359" s="55"/>
      <c r="G359" s="55"/>
      <c r="H359" s="136">
        <f t="shared" si="10"/>
        <v>0</v>
      </c>
      <c r="I359" s="136">
        <f t="shared" si="11"/>
        <v>0</v>
      </c>
      <c r="J359" s="73"/>
    </row>
    <row r="360" spans="1:10" s="5" customFormat="1" hidden="1">
      <c r="A360" s="1069"/>
      <c r="B360" s="246"/>
      <c r="C360" s="431"/>
      <c r="D360" s="431"/>
      <c r="E360" s="432"/>
      <c r="F360" s="55"/>
      <c r="G360" s="55"/>
      <c r="H360" s="136">
        <f t="shared" si="10"/>
        <v>0</v>
      </c>
      <c r="I360" s="136">
        <f t="shared" si="11"/>
        <v>0</v>
      </c>
      <c r="J360" s="73"/>
    </row>
    <row r="361" spans="1:10" s="5" customFormat="1" hidden="1">
      <c r="A361" s="1069"/>
      <c r="B361" s="246"/>
      <c r="C361" s="431"/>
      <c r="D361" s="431"/>
      <c r="E361" s="432"/>
      <c r="F361" s="55"/>
      <c r="G361" s="55"/>
      <c r="H361" s="136">
        <f t="shared" si="10"/>
        <v>0</v>
      </c>
      <c r="I361" s="136">
        <f t="shared" si="11"/>
        <v>0</v>
      </c>
      <c r="J361" s="73"/>
    </row>
    <row r="362" spans="1:10" s="5" customFormat="1" hidden="1">
      <c r="A362" s="1069"/>
      <c r="B362" s="246"/>
      <c r="C362" s="431"/>
      <c r="D362" s="431"/>
      <c r="E362" s="432"/>
      <c r="F362" s="55"/>
      <c r="G362" s="55"/>
      <c r="H362" s="136">
        <f t="shared" si="10"/>
        <v>0</v>
      </c>
      <c r="I362" s="136">
        <f t="shared" si="11"/>
        <v>0</v>
      </c>
      <c r="J362" s="73"/>
    </row>
    <row r="363" spans="1:10" s="5" customFormat="1" hidden="1">
      <c r="A363" s="1069"/>
      <c r="B363" s="246"/>
      <c r="C363" s="431"/>
      <c r="D363" s="431"/>
      <c r="E363" s="432"/>
      <c r="F363" s="55"/>
      <c r="G363" s="55"/>
      <c r="H363" s="136">
        <f t="shared" si="10"/>
        <v>0</v>
      </c>
      <c r="I363" s="136">
        <f t="shared" si="11"/>
        <v>0</v>
      </c>
      <c r="J363" s="73"/>
    </row>
    <row r="364" spans="1:10" s="5" customFormat="1" hidden="1">
      <c r="A364" s="1069"/>
      <c r="B364" s="246"/>
      <c r="C364" s="431"/>
      <c r="D364" s="431"/>
      <c r="E364" s="432"/>
      <c r="F364" s="55"/>
      <c r="G364" s="55"/>
      <c r="H364" s="136">
        <f t="shared" si="10"/>
        <v>0</v>
      </c>
      <c r="I364" s="136">
        <f t="shared" si="11"/>
        <v>0</v>
      </c>
      <c r="J364" s="73"/>
    </row>
    <row r="365" spans="1:10" s="5" customFormat="1" hidden="1">
      <c r="A365" s="1069"/>
      <c r="B365" s="246"/>
      <c r="C365" s="431"/>
      <c r="D365" s="431"/>
      <c r="E365" s="432"/>
      <c r="F365" s="55"/>
      <c r="G365" s="55"/>
      <c r="H365" s="136">
        <f t="shared" si="10"/>
        <v>0</v>
      </c>
      <c r="I365" s="136">
        <f t="shared" si="11"/>
        <v>0</v>
      </c>
      <c r="J365" s="73"/>
    </row>
    <row r="366" spans="1:10" s="5" customFormat="1" hidden="1">
      <c r="A366" s="1069"/>
      <c r="B366" s="246"/>
      <c r="C366" s="431"/>
      <c r="D366" s="431"/>
      <c r="E366" s="432"/>
      <c r="F366" s="55"/>
      <c r="G366" s="55"/>
      <c r="H366" s="136">
        <f t="shared" si="10"/>
        <v>0</v>
      </c>
      <c r="I366" s="136">
        <f t="shared" si="11"/>
        <v>0</v>
      </c>
      <c r="J366" s="73"/>
    </row>
    <row r="367" spans="1:10" s="5" customFormat="1" hidden="1">
      <c r="A367" s="1069"/>
      <c r="B367" s="246"/>
      <c r="C367" s="431"/>
      <c r="D367" s="431"/>
      <c r="E367" s="432"/>
      <c r="F367" s="55"/>
      <c r="G367" s="55"/>
      <c r="H367" s="136">
        <f t="shared" si="10"/>
        <v>0</v>
      </c>
      <c r="I367" s="136">
        <f t="shared" si="11"/>
        <v>0</v>
      </c>
      <c r="J367" s="73"/>
    </row>
    <row r="368" spans="1:10" s="5" customFormat="1" hidden="1">
      <c r="A368" s="1069"/>
      <c r="B368" s="246"/>
      <c r="C368" s="431"/>
      <c r="D368" s="431"/>
      <c r="E368" s="432"/>
      <c r="F368" s="55"/>
      <c r="G368" s="55"/>
      <c r="H368" s="136">
        <f t="shared" si="10"/>
        <v>0</v>
      </c>
      <c r="I368" s="136">
        <f t="shared" si="11"/>
        <v>0</v>
      </c>
      <c r="J368" s="73"/>
    </row>
    <row r="369" spans="1:10" s="5" customFormat="1" hidden="1">
      <c r="A369" s="1069"/>
      <c r="B369" s="249"/>
      <c r="C369" s="433"/>
      <c r="D369" s="383"/>
      <c r="E369" s="433"/>
      <c r="F369" s="55"/>
      <c r="G369" s="55"/>
      <c r="H369" s="136">
        <f t="shared" si="10"/>
        <v>0</v>
      </c>
      <c r="I369" s="136">
        <f t="shared" si="11"/>
        <v>0</v>
      </c>
      <c r="J369" s="73"/>
    </row>
    <row r="370" spans="1:10" s="5" customFormat="1" hidden="1">
      <c r="A370" s="1069"/>
      <c r="B370" s="249"/>
      <c r="C370" s="433"/>
      <c r="D370" s="383"/>
      <c r="E370" s="433"/>
      <c r="F370" s="55"/>
      <c r="G370" s="55"/>
      <c r="H370" s="136">
        <f t="shared" si="10"/>
        <v>0</v>
      </c>
      <c r="I370" s="136">
        <f t="shared" si="11"/>
        <v>0</v>
      </c>
      <c r="J370" s="73"/>
    </row>
    <row r="371" spans="1:10" s="5" customFormat="1" hidden="1">
      <c r="A371" s="1069"/>
      <c r="B371" s="249"/>
      <c r="C371" s="433"/>
      <c r="D371" s="383"/>
      <c r="E371" s="433"/>
      <c r="F371" s="55"/>
      <c r="G371" s="55"/>
      <c r="H371" s="136">
        <f t="shared" si="10"/>
        <v>0</v>
      </c>
      <c r="I371" s="136">
        <f t="shared" si="11"/>
        <v>0</v>
      </c>
      <c r="J371" s="73"/>
    </row>
    <row r="372" spans="1:10">
      <c r="A372" s="1068"/>
      <c r="B372" s="461" t="s">
        <v>253</v>
      </c>
      <c r="C372" s="470">
        <f>SUM(C328:C371)</f>
        <v>262370</v>
      </c>
      <c r="D372" s="470">
        <f>SUM(D328:D371)</f>
        <v>0</v>
      </c>
      <c r="E372" s="470">
        <f>SUM(E328:E371)</f>
        <v>262370</v>
      </c>
      <c r="F372" s="75">
        <f>SUM(F328:F340)</f>
        <v>0</v>
      </c>
      <c r="G372" s="75">
        <f>SUM(G328:G340)</f>
        <v>0</v>
      </c>
      <c r="H372" s="459">
        <f t="shared" si="10"/>
        <v>0</v>
      </c>
      <c r="I372" s="459">
        <f t="shared" si="11"/>
        <v>524740</v>
      </c>
      <c r="J372" s="460"/>
    </row>
    <row r="373" spans="1:10" ht="131.25">
      <c r="A373" s="1068" t="s">
        <v>310</v>
      </c>
      <c r="B373" s="310" t="s">
        <v>1681</v>
      </c>
      <c r="C373" s="455">
        <v>13150</v>
      </c>
      <c r="D373" s="455"/>
      <c r="E373" s="455">
        <v>13150</v>
      </c>
      <c r="F373" s="138"/>
      <c r="G373" s="138"/>
      <c r="H373" s="459">
        <f t="shared" si="10"/>
        <v>0</v>
      </c>
      <c r="I373" s="459">
        <f t="shared" si="11"/>
        <v>26300</v>
      </c>
      <c r="J373" s="460"/>
    </row>
    <row r="374" spans="1:10" s="5" customFormat="1" hidden="1">
      <c r="A374" s="1069"/>
      <c r="B374" s="244"/>
      <c r="C374" s="383"/>
      <c r="D374" s="383"/>
      <c r="E374" s="430"/>
      <c r="F374" s="55"/>
      <c r="G374" s="55"/>
      <c r="H374" s="136">
        <f t="shared" si="10"/>
        <v>0</v>
      </c>
      <c r="I374" s="136">
        <f t="shared" si="11"/>
        <v>0</v>
      </c>
      <c r="J374" s="73"/>
    </row>
    <row r="375" spans="1:10" s="5" customFormat="1" hidden="1">
      <c r="A375" s="1069"/>
      <c r="B375" s="244"/>
      <c r="C375" s="383"/>
      <c r="D375" s="383"/>
      <c r="E375" s="383"/>
      <c r="F375" s="55"/>
      <c r="G375" s="55"/>
      <c r="H375" s="136">
        <f t="shared" si="10"/>
        <v>0</v>
      </c>
      <c r="I375" s="136">
        <f t="shared" si="11"/>
        <v>0</v>
      </c>
      <c r="J375" s="73"/>
    </row>
    <row r="376" spans="1:10" s="5" customFormat="1" hidden="1">
      <c r="A376" s="1069"/>
      <c r="B376" s="244"/>
      <c r="C376" s="383"/>
      <c r="D376" s="383"/>
      <c r="E376" s="383"/>
      <c r="F376" s="55"/>
      <c r="G376" s="55"/>
      <c r="H376" s="136">
        <f t="shared" si="10"/>
        <v>0</v>
      </c>
      <c r="I376" s="136">
        <f t="shared" si="11"/>
        <v>0</v>
      </c>
      <c r="J376" s="73"/>
    </row>
    <row r="377" spans="1:10" s="5" customFormat="1" hidden="1">
      <c r="A377" s="1069"/>
      <c r="B377" s="244"/>
      <c r="C377" s="383"/>
      <c r="D377" s="383"/>
      <c r="E377" s="383"/>
      <c r="F377" s="55"/>
      <c r="G377" s="55"/>
      <c r="H377" s="136">
        <f t="shared" si="10"/>
        <v>0</v>
      </c>
      <c r="I377" s="136">
        <f t="shared" si="11"/>
        <v>0</v>
      </c>
      <c r="J377" s="73"/>
    </row>
    <row r="378" spans="1:10" s="5" customFormat="1" hidden="1">
      <c r="A378" s="1069"/>
      <c r="B378" s="244"/>
      <c r="C378" s="383"/>
      <c r="D378" s="383"/>
      <c r="E378" s="383"/>
      <c r="F378" s="55"/>
      <c r="G378" s="55"/>
      <c r="H378" s="136">
        <f t="shared" si="10"/>
        <v>0</v>
      </c>
      <c r="I378" s="136">
        <f t="shared" si="11"/>
        <v>0</v>
      </c>
      <c r="J378" s="73"/>
    </row>
    <row r="379" spans="1:10" s="5" customFormat="1" hidden="1">
      <c r="A379" s="1069"/>
      <c r="B379" s="244"/>
      <c r="C379" s="383"/>
      <c r="D379" s="383"/>
      <c r="E379" s="383"/>
      <c r="F379" s="55"/>
      <c r="G379" s="55"/>
      <c r="H379" s="136">
        <f t="shared" si="10"/>
        <v>0</v>
      </c>
      <c r="I379" s="136">
        <f t="shared" si="11"/>
        <v>0</v>
      </c>
      <c r="J379" s="73"/>
    </row>
    <row r="380" spans="1:10" s="5" customFormat="1" hidden="1">
      <c r="A380" s="1069"/>
      <c r="B380" s="244"/>
      <c r="C380" s="383"/>
      <c r="D380" s="383"/>
      <c r="E380" s="383"/>
      <c r="F380" s="55"/>
      <c r="G380" s="55"/>
      <c r="H380" s="136">
        <f t="shared" si="10"/>
        <v>0</v>
      </c>
      <c r="I380" s="136">
        <f t="shared" si="11"/>
        <v>0</v>
      </c>
      <c r="J380" s="73"/>
    </row>
    <row r="381" spans="1:10" s="5" customFormat="1" hidden="1">
      <c r="A381" s="1069"/>
      <c r="B381" s="244"/>
      <c r="C381" s="383"/>
      <c r="D381" s="383"/>
      <c r="E381" s="383"/>
      <c r="F381" s="55"/>
      <c r="G381" s="55"/>
      <c r="H381" s="136">
        <f t="shared" si="10"/>
        <v>0</v>
      </c>
      <c r="I381" s="136">
        <f t="shared" si="11"/>
        <v>0</v>
      </c>
      <c r="J381" s="73"/>
    </row>
    <row r="382" spans="1:10" s="5" customFormat="1" hidden="1">
      <c r="A382" s="1069"/>
      <c r="B382" s="244"/>
      <c r="C382" s="383"/>
      <c r="D382" s="383"/>
      <c r="E382" s="383"/>
      <c r="F382" s="55"/>
      <c r="G382" s="55"/>
      <c r="H382" s="136">
        <f t="shared" si="10"/>
        <v>0</v>
      </c>
      <c r="I382" s="136">
        <f t="shared" si="11"/>
        <v>0</v>
      </c>
      <c r="J382" s="73"/>
    </row>
    <row r="383" spans="1:10" s="5" customFormat="1" hidden="1">
      <c r="A383" s="1069"/>
      <c r="B383" s="244"/>
      <c r="C383" s="383"/>
      <c r="D383" s="383"/>
      <c r="E383" s="383"/>
      <c r="F383" s="55"/>
      <c r="G383" s="55"/>
      <c r="H383" s="136">
        <f t="shared" si="10"/>
        <v>0</v>
      </c>
      <c r="I383" s="136">
        <f t="shared" si="11"/>
        <v>0</v>
      </c>
      <c r="J383" s="73"/>
    </row>
    <row r="384" spans="1:10" s="5" customFormat="1" hidden="1">
      <c r="A384" s="1069"/>
      <c r="B384" s="244"/>
      <c r="C384" s="383"/>
      <c r="D384" s="383"/>
      <c r="E384" s="430"/>
      <c r="F384" s="55"/>
      <c r="G384" s="55"/>
      <c r="H384" s="136">
        <f t="shared" si="10"/>
        <v>0</v>
      </c>
      <c r="I384" s="136">
        <f t="shared" si="11"/>
        <v>0</v>
      </c>
      <c r="J384" s="73"/>
    </row>
    <row r="385" spans="1:10" s="5" customFormat="1" hidden="1">
      <c r="A385" s="1069"/>
      <c r="B385" s="244"/>
      <c r="C385" s="383"/>
      <c r="D385" s="383"/>
      <c r="E385" s="430"/>
      <c r="F385" s="55"/>
      <c r="G385" s="55"/>
      <c r="H385" s="136">
        <f t="shared" si="10"/>
        <v>0</v>
      </c>
      <c r="I385" s="136">
        <f t="shared" si="11"/>
        <v>0</v>
      </c>
      <c r="J385" s="73"/>
    </row>
    <row r="386" spans="1:10" s="5" customFormat="1" hidden="1">
      <c r="A386" s="1069"/>
      <c r="B386" s="244"/>
      <c r="C386" s="383"/>
      <c r="D386" s="383"/>
      <c r="E386" s="430"/>
      <c r="F386" s="55"/>
      <c r="G386" s="55"/>
      <c r="H386" s="136">
        <f t="shared" si="10"/>
        <v>0</v>
      </c>
      <c r="I386" s="136">
        <f t="shared" si="11"/>
        <v>0</v>
      </c>
      <c r="J386" s="73"/>
    </row>
    <row r="387" spans="1:10" s="5" customFormat="1" hidden="1">
      <c r="A387" s="1069"/>
      <c r="B387" s="244"/>
      <c r="C387" s="430"/>
      <c r="D387" s="430"/>
      <c r="E387" s="430"/>
      <c r="F387" s="55"/>
      <c r="G387" s="55"/>
      <c r="H387" s="136">
        <f t="shared" si="10"/>
        <v>0</v>
      </c>
      <c r="I387" s="136">
        <f t="shared" si="11"/>
        <v>0</v>
      </c>
      <c r="J387" s="73"/>
    </row>
    <row r="388" spans="1:10" s="5" customFormat="1" hidden="1">
      <c r="A388" s="1069"/>
      <c r="B388" s="246"/>
      <c r="C388" s="431"/>
      <c r="D388" s="431"/>
      <c r="E388" s="432"/>
      <c r="F388" s="55"/>
      <c r="G388" s="55"/>
      <c r="H388" s="136">
        <f t="shared" si="10"/>
        <v>0</v>
      </c>
      <c r="I388" s="136">
        <f t="shared" si="11"/>
        <v>0</v>
      </c>
      <c r="J388" s="73"/>
    </row>
    <row r="389" spans="1:10" s="5" customFormat="1" hidden="1">
      <c r="A389" s="1069"/>
      <c r="B389" s="244"/>
      <c r="C389" s="383"/>
      <c r="D389" s="383"/>
      <c r="E389" s="433"/>
      <c r="F389" s="55"/>
      <c r="G389" s="55"/>
      <c r="H389" s="136">
        <f t="shared" si="10"/>
        <v>0</v>
      </c>
      <c r="I389" s="136">
        <f t="shared" si="11"/>
        <v>0</v>
      </c>
      <c r="J389" s="73"/>
    </row>
    <row r="390" spans="1:10" s="5" customFormat="1" hidden="1">
      <c r="A390" s="1069"/>
      <c r="B390" s="244"/>
      <c r="C390" s="383"/>
      <c r="D390" s="383"/>
      <c r="E390" s="433"/>
      <c r="F390" s="55"/>
      <c r="G390" s="55"/>
      <c r="H390" s="136">
        <f t="shared" si="10"/>
        <v>0</v>
      </c>
      <c r="I390" s="136">
        <f t="shared" si="11"/>
        <v>0</v>
      </c>
      <c r="J390" s="73"/>
    </row>
    <row r="391" spans="1:10" s="5" customFormat="1" hidden="1">
      <c r="A391" s="1069"/>
      <c r="B391" s="244"/>
      <c r="C391" s="383"/>
      <c r="D391" s="383"/>
      <c r="E391" s="433"/>
      <c r="F391" s="55"/>
      <c r="G391" s="55"/>
      <c r="H391" s="136">
        <f t="shared" si="10"/>
        <v>0</v>
      </c>
      <c r="I391" s="136">
        <f t="shared" si="11"/>
        <v>0</v>
      </c>
      <c r="J391" s="73"/>
    </row>
    <row r="392" spans="1:10" s="5" customFormat="1" hidden="1">
      <c r="A392" s="1069"/>
      <c r="B392" s="244"/>
      <c r="C392" s="383"/>
      <c r="D392" s="383"/>
      <c r="E392" s="433"/>
      <c r="F392" s="55"/>
      <c r="G392" s="55"/>
      <c r="H392" s="136">
        <f t="shared" si="10"/>
        <v>0</v>
      </c>
      <c r="I392" s="136">
        <f t="shared" si="11"/>
        <v>0</v>
      </c>
      <c r="J392" s="73"/>
    </row>
    <row r="393" spans="1:10" s="5" customFormat="1" hidden="1">
      <c r="A393" s="1069"/>
      <c r="B393" s="244"/>
      <c r="C393" s="383"/>
      <c r="D393" s="383"/>
      <c r="E393" s="433"/>
      <c r="F393" s="55"/>
      <c r="G393" s="55"/>
      <c r="H393" s="136">
        <f t="shared" ref="H393:H456" si="12">E393+D393-C393</f>
        <v>0</v>
      </c>
      <c r="I393" s="136">
        <f t="shared" ref="I393:I456" si="13">SUM(C393:E393)</f>
        <v>0</v>
      </c>
      <c r="J393" s="73"/>
    </row>
    <row r="394" spans="1:10" s="5" customFormat="1" hidden="1">
      <c r="A394" s="1069"/>
      <c r="B394" s="244"/>
      <c r="C394" s="383"/>
      <c r="D394" s="383"/>
      <c r="E394" s="433"/>
      <c r="F394" s="55"/>
      <c r="G394" s="55"/>
      <c r="H394" s="136">
        <f t="shared" si="12"/>
        <v>0</v>
      </c>
      <c r="I394" s="136">
        <f t="shared" si="13"/>
        <v>0</v>
      </c>
      <c r="J394" s="73"/>
    </row>
    <row r="395" spans="1:10" s="5" customFormat="1" hidden="1">
      <c r="A395" s="1069"/>
      <c r="B395" s="244"/>
      <c r="C395" s="383"/>
      <c r="D395" s="383"/>
      <c r="E395" s="433"/>
      <c r="F395" s="55"/>
      <c r="G395" s="55"/>
      <c r="H395" s="136">
        <f t="shared" si="12"/>
        <v>0</v>
      </c>
      <c r="I395" s="136">
        <f t="shared" si="13"/>
        <v>0</v>
      </c>
      <c r="J395" s="73"/>
    </row>
    <row r="396" spans="1:10" s="5" customFormat="1" hidden="1">
      <c r="A396" s="1069"/>
      <c r="B396" s="244"/>
      <c r="C396" s="383"/>
      <c r="D396" s="383"/>
      <c r="E396" s="433"/>
      <c r="F396" s="55"/>
      <c r="G396" s="55"/>
      <c r="H396" s="136">
        <f t="shared" si="12"/>
        <v>0</v>
      </c>
      <c r="I396" s="136">
        <f t="shared" si="13"/>
        <v>0</v>
      </c>
      <c r="J396" s="73"/>
    </row>
    <row r="397" spans="1:10" s="5" customFormat="1" hidden="1">
      <c r="A397" s="1069"/>
      <c r="B397" s="244"/>
      <c r="C397" s="383"/>
      <c r="D397" s="383"/>
      <c r="E397" s="433"/>
      <c r="F397" s="55"/>
      <c r="G397" s="55"/>
      <c r="H397" s="136">
        <f t="shared" si="12"/>
        <v>0</v>
      </c>
      <c r="I397" s="136">
        <f t="shared" si="13"/>
        <v>0</v>
      </c>
      <c r="J397" s="73"/>
    </row>
    <row r="398" spans="1:10" s="5" customFormat="1" hidden="1">
      <c r="A398" s="1069"/>
      <c r="B398" s="244"/>
      <c r="C398" s="383"/>
      <c r="D398" s="383"/>
      <c r="E398" s="433"/>
      <c r="F398" s="55"/>
      <c r="G398" s="55"/>
      <c r="H398" s="136">
        <f t="shared" si="12"/>
        <v>0</v>
      </c>
      <c r="I398" s="136">
        <f t="shared" si="13"/>
        <v>0</v>
      </c>
      <c r="J398" s="73"/>
    </row>
    <row r="399" spans="1:10" s="5" customFormat="1" hidden="1">
      <c r="A399" s="1069"/>
      <c r="B399" s="244"/>
      <c r="C399" s="383"/>
      <c r="D399" s="383"/>
      <c r="E399" s="433"/>
      <c r="F399" s="55"/>
      <c r="G399" s="55"/>
      <c r="H399" s="136">
        <f t="shared" si="12"/>
        <v>0</v>
      </c>
      <c r="I399" s="136">
        <f t="shared" si="13"/>
        <v>0</v>
      </c>
      <c r="J399" s="73"/>
    </row>
    <row r="400" spans="1:10" s="5" customFormat="1" hidden="1">
      <c r="A400" s="1069"/>
      <c r="B400" s="244"/>
      <c r="C400" s="383"/>
      <c r="D400" s="383"/>
      <c r="E400" s="433"/>
      <c r="F400" s="55"/>
      <c r="G400" s="55"/>
      <c r="H400" s="136">
        <f t="shared" si="12"/>
        <v>0</v>
      </c>
      <c r="I400" s="136">
        <f t="shared" si="13"/>
        <v>0</v>
      </c>
      <c r="J400" s="73"/>
    </row>
    <row r="401" spans="1:10" s="5" customFormat="1" hidden="1">
      <c r="A401" s="1069"/>
      <c r="B401" s="244"/>
      <c r="C401" s="383"/>
      <c r="D401" s="383"/>
      <c r="E401" s="433"/>
      <c r="F401" s="55"/>
      <c r="G401" s="55"/>
      <c r="H401" s="136">
        <f t="shared" si="12"/>
        <v>0</v>
      </c>
      <c r="I401" s="136">
        <f t="shared" si="13"/>
        <v>0</v>
      </c>
      <c r="J401" s="73"/>
    </row>
    <row r="402" spans="1:10" s="5" customFormat="1" hidden="1">
      <c r="A402" s="1069"/>
      <c r="B402" s="244"/>
      <c r="C402" s="383"/>
      <c r="D402" s="383"/>
      <c r="E402" s="433"/>
      <c r="F402" s="55"/>
      <c r="G402" s="55"/>
      <c r="H402" s="136">
        <f t="shared" si="12"/>
        <v>0</v>
      </c>
      <c r="I402" s="136">
        <f t="shared" si="13"/>
        <v>0</v>
      </c>
      <c r="J402" s="73"/>
    </row>
    <row r="403" spans="1:10" s="5" customFormat="1" hidden="1">
      <c r="A403" s="1069"/>
      <c r="B403" s="244"/>
      <c r="C403" s="383"/>
      <c r="D403" s="383"/>
      <c r="E403" s="433"/>
      <c r="F403" s="55"/>
      <c r="G403" s="55"/>
      <c r="H403" s="136">
        <f t="shared" si="12"/>
        <v>0</v>
      </c>
      <c r="I403" s="136">
        <f t="shared" si="13"/>
        <v>0</v>
      </c>
      <c r="J403" s="73"/>
    </row>
    <row r="404" spans="1:10" s="5" customFormat="1" hidden="1">
      <c r="A404" s="1069"/>
      <c r="B404" s="244"/>
      <c r="C404" s="383"/>
      <c r="D404" s="383"/>
      <c r="E404" s="433"/>
      <c r="F404" s="55"/>
      <c r="G404" s="55"/>
      <c r="H404" s="136">
        <f t="shared" si="12"/>
        <v>0</v>
      </c>
      <c r="I404" s="136">
        <f t="shared" si="13"/>
        <v>0</v>
      </c>
      <c r="J404" s="73"/>
    </row>
    <row r="405" spans="1:10" s="5" customFormat="1" hidden="1">
      <c r="A405" s="1069"/>
      <c r="B405" s="244"/>
      <c r="C405" s="383"/>
      <c r="D405" s="383"/>
      <c r="E405" s="433"/>
      <c r="F405" s="55"/>
      <c r="G405" s="55"/>
      <c r="H405" s="136">
        <f t="shared" si="12"/>
        <v>0</v>
      </c>
      <c r="I405" s="136">
        <f t="shared" si="13"/>
        <v>0</v>
      </c>
      <c r="J405" s="73"/>
    </row>
    <row r="406" spans="1:10" s="5" customFormat="1" hidden="1">
      <c r="A406" s="1069"/>
      <c r="B406" s="244"/>
      <c r="C406" s="383"/>
      <c r="D406" s="383"/>
      <c r="E406" s="433"/>
      <c r="F406" s="55"/>
      <c r="G406" s="55"/>
      <c r="H406" s="136">
        <f t="shared" si="12"/>
        <v>0</v>
      </c>
      <c r="I406" s="136">
        <f t="shared" si="13"/>
        <v>0</v>
      </c>
      <c r="J406" s="73"/>
    </row>
    <row r="407" spans="1:10" s="5" customFormat="1" hidden="1">
      <c r="A407" s="1069"/>
      <c r="B407" s="244"/>
      <c r="C407" s="383"/>
      <c r="D407" s="383"/>
      <c r="E407" s="433"/>
      <c r="F407" s="55"/>
      <c r="G407" s="55"/>
      <c r="H407" s="136">
        <f t="shared" si="12"/>
        <v>0</v>
      </c>
      <c r="I407" s="136">
        <f t="shared" si="13"/>
        <v>0</v>
      </c>
      <c r="J407" s="73"/>
    </row>
    <row r="408" spans="1:10" s="5" customFormat="1" hidden="1">
      <c r="A408" s="1069"/>
      <c r="B408" s="244"/>
      <c r="C408" s="383"/>
      <c r="D408" s="383"/>
      <c r="E408" s="433"/>
      <c r="F408" s="55"/>
      <c r="G408" s="55"/>
      <c r="H408" s="136">
        <f t="shared" si="12"/>
        <v>0</v>
      </c>
      <c r="I408" s="136">
        <f t="shared" si="13"/>
        <v>0</v>
      </c>
      <c r="J408" s="73"/>
    </row>
    <row r="409" spans="1:10" s="5" customFormat="1" hidden="1">
      <c r="A409" s="1069"/>
      <c r="B409" s="244"/>
      <c r="C409" s="383"/>
      <c r="D409" s="383"/>
      <c r="E409" s="433"/>
      <c r="F409" s="55"/>
      <c r="G409" s="55"/>
      <c r="H409" s="136">
        <f t="shared" si="12"/>
        <v>0</v>
      </c>
      <c r="I409" s="136">
        <f t="shared" si="13"/>
        <v>0</v>
      </c>
      <c r="J409" s="73"/>
    </row>
    <row r="410" spans="1:10" s="5" customFormat="1" hidden="1">
      <c r="A410" s="1069"/>
      <c r="B410" s="244"/>
      <c r="C410" s="383"/>
      <c r="D410" s="383"/>
      <c r="E410" s="433"/>
      <c r="F410" s="55"/>
      <c r="G410" s="55"/>
      <c r="H410" s="136">
        <f t="shared" si="12"/>
        <v>0</v>
      </c>
      <c r="I410" s="136">
        <f t="shared" si="13"/>
        <v>0</v>
      </c>
      <c r="J410" s="73"/>
    </row>
    <row r="411" spans="1:10" s="5" customFormat="1" hidden="1">
      <c r="A411" s="1069"/>
      <c r="B411" s="244"/>
      <c r="C411" s="383"/>
      <c r="D411" s="383"/>
      <c r="E411" s="433"/>
      <c r="F411" s="55"/>
      <c r="G411" s="55"/>
      <c r="H411" s="136">
        <f t="shared" si="12"/>
        <v>0</v>
      </c>
      <c r="I411" s="136">
        <f t="shared" si="13"/>
        <v>0</v>
      </c>
      <c r="J411" s="73"/>
    </row>
    <row r="412" spans="1:10" s="5" customFormat="1" hidden="1">
      <c r="A412" s="1069"/>
      <c r="B412" s="244"/>
      <c r="C412" s="383"/>
      <c r="D412" s="383"/>
      <c r="E412" s="433"/>
      <c r="F412" s="55"/>
      <c r="G412" s="55"/>
      <c r="H412" s="136">
        <f t="shared" si="12"/>
        <v>0</v>
      </c>
      <c r="I412" s="136">
        <f t="shared" si="13"/>
        <v>0</v>
      </c>
      <c r="J412" s="73"/>
    </row>
    <row r="413" spans="1:10">
      <c r="A413" s="1068"/>
      <c r="B413" s="467" t="s">
        <v>253</v>
      </c>
      <c r="C413" s="466">
        <f>SUM(C373:C412)</f>
        <v>13150</v>
      </c>
      <c r="D413" s="466">
        <f>SUM(D373:D412)</f>
        <v>0</v>
      </c>
      <c r="E413" s="466">
        <f>SUM(E373:E412)</f>
        <v>13150</v>
      </c>
      <c r="F413" s="75">
        <f>SUM(F373:F374)</f>
        <v>0</v>
      </c>
      <c r="G413" s="75">
        <f>SUM(G373:G374)</f>
        <v>0</v>
      </c>
      <c r="H413" s="459">
        <f t="shared" si="12"/>
        <v>0</v>
      </c>
      <c r="I413" s="459">
        <f t="shared" si="13"/>
        <v>26300</v>
      </c>
      <c r="J413" s="460"/>
    </row>
    <row r="414" spans="1:10" ht="131.25">
      <c r="A414" s="1068" t="s">
        <v>269</v>
      </c>
      <c r="B414" s="310" t="s">
        <v>1681</v>
      </c>
      <c r="C414" s="455">
        <v>13150</v>
      </c>
      <c r="D414" s="455"/>
      <c r="E414" s="455">
        <v>13150</v>
      </c>
      <c r="F414" s="367"/>
      <c r="G414" s="367"/>
      <c r="H414" s="459">
        <f t="shared" si="12"/>
        <v>0</v>
      </c>
      <c r="I414" s="459">
        <f t="shared" si="13"/>
        <v>26300</v>
      </c>
      <c r="J414" s="460" t="s">
        <v>1861</v>
      </c>
    </row>
    <row r="415" spans="1:10" s="5" customFormat="1" hidden="1">
      <c r="A415" s="1069"/>
      <c r="B415" s="244"/>
      <c r="C415" s="383"/>
      <c r="D415" s="383"/>
      <c r="E415" s="430"/>
      <c r="F415" s="138"/>
      <c r="G415" s="138"/>
      <c r="H415" s="136">
        <f t="shared" si="12"/>
        <v>0</v>
      </c>
      <c r="I415" s="136">
        <f t="shared" si="13"/>
        <v>0</v>
      </c>
      <c r="J415" s="73"/>
    </row>
    <row r="416" spans="1:10" s="5" customFormat="1" hidden="1">
      <c r="A416" s="1069"/>
      <c r="B416" s="244"/>
      <c r="C416" s="383"/>
      <c r="D416" s="430"/>
      <c r="E416" s="383"/>
      <c r="F416" s="55"/>
      <c r="G416" s="55"/>
      <c r="H416" s="136">
        <f t="shared" si="12"/>
        <v>0</v>
      </c>
      <c r="I416" s="136">
        <f t="shared" si="13"/>
        <v>0</v>
      </c>
      <c r="J416" s="73"/>
    </row>
    <row r="417" spans="1:10" s="5" customFormat="1" hidden="1">
      <c r="A417" s="1069"/>
      <c r="B417" s="244"/>
      <c r="C417" s="383"/>
      <c r="D417" s="430"/>
      <c r="E417" s="383"/>
      <c r="F417" s="55"/>
      <c r="G417" s="55"/>
      <c r="H417" s="136">
        <f t="shared" si="12"/>
        <v>0</v>
      </c>
      <c r="I417" s="136">
        <f t="shared" si="13"/>
        <v>0</v>
      </c>
      <c r="J417" s="73"/>
    </row>
    <row r="418" spans="1:10" s="5" customFormat="1" hidden="1">
      <c r="A418" s="1069"/>
      <c r="B418" s="244"/>
      <c r="C418" s="383"/>
      <c r="D418" s="383"/>
      <c r="E418" s="430"/>
      <c r="F418" s="55"/>
      <c r="G418" s="55"/>
      <c r="H418" s="136">
        <f t="shared" si="12"/>
        <v>0</v>
      </c>
      <c r="I418" s="136">
        <f t="shared" si="13"/>
        <v>0</v>
      </c>
      <c r="J418" s="73"/>
    </row>
    <row r="419" spans="1:10" s="5" customFormat="1" hidden="1">
      <c r="A419" s="1069"/>
      <c r="B419" s="244"/>
      <c r="C419" s="383"/>
      <c r="D419" s="383"/>
      <c r="E419" s="430"/>
      <c r="F419" s="55"/>
      <c r="G419" s="55"/>
      <c r="H419" s="136">
        <f t="shared" si="12"/>
        <v>0</v>
      </c>
      <c r="I419" s="136">
        <f t="shared" si="13"/>
        <v>0</v>
      </c>
      <c r="J419" s="73"/>
    </row>
    <row r="420" spans="1:10" s="5" customFormat="1" hidden="1">
      <c r="A420" s="1069"/>
      <c r="B420" s="244"/>
      <c r="C420" s="383"/>
      <c r="D420" s="383"/>
      <c r="E420" s="430"/>
      <c r="F420" s="55"/>
      <c r="G420" s="55"/>
      <c r="H420" s="136">
        <f t="shared" si="12"/>
        <v>0</v>
      </c>
      <c r="I420" s="136">
        <f t="shared" si="13"/>
        <v>0</v>
      </c>
      <c r="J420" s="73"/>
    </row>
    <row r="421" spans="1:10" s="5" customFormat="1" hidden="1">
      <c r="A421" s="1069"/>
      <c r="B421" s="244"/>
      <c r="C421" s="383"/>
      <c r="D421" s="383"/>
      <c r="E421" s="430"/>
      <c r="F421" s="55"/>
      <c r="G421" s="55"/>
      <c r="H421" s="136">
        <f t="shared" si="12"/>
        <v>0</v>
      </c>
      <c r="I421" s="136">
        <f t="shared" si="13"/>
        <v>0</v>
      </c>
      <c r="J421" s="73"/>
    </row>
    <row r="422" spans="1:10" s="5" customFormat="1" hidden="1">
      <c r="A422" s="1069"/>
      <c r="B422" s="244"/>
      <c r="C422" s="383"/>
      <c r="D422" s="383"/>
      <c r="E422" s="433"/>
      <c r="F422" s="55"/>
      <c r="G422" s="55"/>
      <c r="H422" s="136">
        <f t="shared" si="12"/>
        <v>0</v>
      </c>
      <c r="I422" s="136">
        <f t="shared" si="13"/>
        <v>0</v>
      </c>
      <c r="J422" s="73"/>
    </row>
    <row r="423" spans="1:10" s="5" customFormat="1" hidden="1">
      <c r="A423" s="1069"/>
      <c r="B423" s="246"/>
      <c r="C423" s="431"/>
      <c r="D423" s="431"/>
      <c r="E423" s="432"/>
      <c r="F423" s="55"/>
      <c r="G423" s="55"/>
      <c r="H423" s="136">
        <f t="shared" si="12"/>
        <v>0</v>
      </c>
      <c r="I423" s="136">
        <f t="shared" si="13"/>
        <v>0</v>
      </c>
      <c r="J423" s="73"/>
    </row>
    <row r="424" spans="1:10" s="5" customFormat="1" hidden="1">
      <c r="A424" s="1069"/>
      <c r="B424" s="246"/>
      <c r="C424" s="434"/>
      <c r="D424" s="434"/>
      <c r="E424" s="435"/>
      <c r="F424" s="55"/>
      <c r="G424" s="55"/>
      <c r="H424" s="136">
        <f t="shared" si="12"/>
        <v>0</v>
      </c>
      <c r="I424" s="136">
        <f t="shared" si="13"/>
        <v>0</v>
      </c>
      <c r="J424" s="73"/>
    </row>
    <row r="425" spans="1:10" s="5" customFormat="1" hidden="1">
      <c r="A425" s="1069"/>
      <c r="B425" s="246"/>
      <c r="C425" s="434"/>
      <c r="D425" s="434"/>
      <c r="E425" s="435"/>
      <c r="F425" s="55"/>
      <c r="G425" s="55"/>
      <c r="H425" s="136">
        <f t="shared" si="12"/>
        <v>0</v>
      </c>
      <c r="I425" s="136">
        <f t="shared" si="13"/>
        <v>0</v>
      </c>
      <c r="J425" s="73"/>
    </row>
    <row r="426" spans="1:10" s="5" customFormat="1" hidden="1">
      <c r="A426" s="1069"/>
      <c r="B426" s="244"/>
      <c r="C426" s="383"/>
      <c r="D426" s="383"/>
      <c r="E426" s="433"/>
      <c r="F426" s="55"/>
      <c r="G426" s="55"/>
      <c r="H426" s="136">
        <f t="shared" si="12"/>
        <v>0</v>
      </c>
      <c r="I426" s="136">
        <f t="shared" si="13"/>
        <v>0</v>
      </c>
      <c r="J426" s="73"/>
    </row>
    <row r="427" spans="1:10" s="5" customFormat="1" hidden="1">
      <c r="A427" s="1069"/>
      <c r="B427" s="244"/>
      <c r="C427" s="383"/>
      <c r="D427" s="383"/>
      <c r="E427" s="433"/>
      <c r="F427" s="55"/>
      <c r="G427" s="55"/>
      <c r="H427" s="136">
        <f t="shared" si="12"/>
        <v>0</v>
      </c>
      <c r="I427" s="136">
        <f t="shared" si="13"/>
        <v>0</v>
      </c>
      <c r="J427" s="73"/>
    </row>
    <row r="428" spans="1:10" s="5" customFormat="1" hidden="1">
      <c r="A428" s="1069"/>
      <c r="B428" s="244"/>
      <c r="C428" s="383"/>
      <c r="D428" s="383"/>
      <c r="E428" s="433"/>
      <c r="F428" s="55"/>
      <c r="G428" s="55"/>
      <c r="H428" s="136">
        <f t="shared" si="12"/>
        <v>0</v>
      </c>
      <c r="I428" s="136">
        <f t="shared" si="13"/>
        <v>0</v>
      </c>
      <c r="J428" s="73"/>
    </row>
    <row r="429" spans="1:10" s="5" customFormat="1" hidden="1">
      <c r="A429" s="1069"/>
      <c r="B429" s="244"/>
      <c r="C429" s="383"/>
      <c r="D429" s="383"/>
      <c r="E429" s="433"/>
      <c r="F429" s="55"/>
      <c r="G429" s="55"/>
      <c r="H429" s="136">
        <f t="shared" si="12"/>
        <v>0</v>
      </c>
      <c r="I429" s="136">
        <f t="shared" si="13"/>
        <v>0</v>
      </c>
      <c r="J429" s="73"/>
    </row>
    <row r="430" spans="1:10" s="5" customFormat="1" hidden="1">
      <c r="A430" s="1069"/>
      <c r="B430" s="244"/>
      <c r="C430" s="383"/>
      <c r="D430" s="383"/>
      <c r="E430" s="433"/>
      <c r="F430" s="55"/>
      <c r="G430" s="55"/>
      <c r="H430" s="136">
        <f t="shared" si="12"/>
        <v>0</v>
      </c>
      <c r="I430" s="136">
        <f t="shared" si="13"/>
        <v>0</v>
      </c>
      <c r="J430" s="73"/>
    </row>
    <row r="431" spans="1:10" s="5" customFormat="1" hidden="1">
      <c r="A431" s="1069"/>
      <c r="B431" s="244"/>
      <c r="C431" s="383"/>
      <c r="D431" s="383"/>
      <c r="E431" s="433"/>
      <c r="F431" s="55"/>
      <c r="G431" s="55"/>
      <c r="H431" s="136">
        <f t="shared" si="12"/>
        <v>0</v>
      </c>
      <c r="I431" s="136">
        <f t="shared" si="13"/>
        <v>0</v>
      </c>
      <c r="J431" s="73"/>
    </row>
    <row r="432" spans="1:10" s="5" customFormat="1" hidden="1">
      <c r="A432" s="1069"/>
      <c r="B432" s="244"/>
      <c r="C432" s="383"/>
      <c r="D432" s="383"/>
      <c r="E432" s="433"/>
      <c r="F432" s="55"/>
      <c r="G432" s="55"/>
      <c r="H432" s="136">
        <f t="shared" si="12"/>
        <v>0</v>
      </c>
      <c r="I432" s="136">
        <f t="shared" si="13"/>
        <v>0</v>
      </c>
      <c r="J432" s="73"/>
    </row>
    <row r="433" spans="1:10" s="5" customFormat="1" hidden="1">
      <c r="A433" s="1069"/>
      <c r="B433" s="244"/>
      <c r="C433" s="383"/>
      <c r="D433" s="383"/>
      <c r="E433" s="433"/>
      <c r="F433" s="55"/>
      <c r="G433" s="55"/>
      <c r="H433" s="136">
        <f t="shared" si="12"/>
        <v>0</v>
      </c>
      <c r="I433" s="136">
        <f t="shared" si="13"/>
        <v>0</v>
      </c>
      <c r="J433" s="73"/>
    </row>
    <row r="434" spans="1:10" s="5" customFormat="1" hidden="1">
      <c r="A434" s="1069"/>
      <c r="B434" s="244"/>
      <c r="C434" s="383"/>
      <c r="D434" s="383"/>
      <c r="E434" s="433"/>
      <c r="F434" s="55"/>
      <c r="G434" s="55"/>
      <c r="H434" s="136">
        <f t="shared" si="12"/>
        <v>0</v>
      </c>
      <c r="I434" s="136">
        <f t="shared" si="13"/>
        <v>0</v>
      </c>
      <c r="J434" s="73"/>
    </row>
    <row r="435" spans="1:10" s="5" customFormat="1" hidden="1">
      <c r="A435" s="1069"/>
      <c r="B435" s="244"/>
      <c r="C435" s="383"/>
      <c r="D435" s="383"/>
      <c r="E435" s="433"/>
      <c r="F435" s="55"/>
      <c r="G435" s="55"/>
      <c r="H435" s="136">
        <f t="shared" si="12"/>
        <v>0</v>
      </c>
      <c r="I435" s="136">
        <f t="shared" si="13"/>
        <v>0</v>
      </c>
      <c r="J435" s="73"/>
    </row>
    <row r="436" spans="1:10" s="5" customFormat="1" hidden="1">
      <c r="A436" s="1069"/>
      <c r="B436" s="244"/>
      <c r="C436" s="383"/>
      <c r="D436" s="383"/>
      <c r="E436" s="433"/>
      <c r="F436" s="55"/>
      <c r="G436" s="55"/>
      <c r="H436" s="136">
        <f t="shared" si="12"/>
        <v>0</v>
      </c>
      <c r="I436" s="136">
        <f t="shared" si="13"/>
        <v>0</v>
      </c>
      <c r="J436" s="73"/>
    </row>
    <row r="437" spans="1:10" s="5" customFormat="1" hidden="1">
      <c r="A437" s="1069"/>
      <c r="B437" s="244"/>
      <c r="C437" s="383"/>
      <c r="D437" s="383"/>
      <c r="E437" s="433"/>
      <c r="F437" s="55"/>
      <c r="G437" s="55"/>
      <c r="H437" s="136">
        <f t="shared" si="12"/>
        <v>0</v>
      </c>
      <c r="I437" s="136">
        <f t="shared" si="13"/>
        <v>0</v>
      </c>
      <c r="J437" s="73"/>
    </row>
    <row r="438" spans="1:10" s="5" customFormat="1" hidden="1">
      <c r="A438" s="1069"/>
      <c r="B438" s="244"/>
      <c r="C438" s="383"/>
      <c r="D438" s="383"/>
      <c r="E438" s="433"/>
      <c r="F438" s="55"/>
      <c r="G438" s="55"/>
      <c r="H438" s="136">
        <f t="shared" si="12"/>
        <v>0</v>
      </c>
      <c r="I438" s="136">
        <f t="shared" si="13"/>
        <v>0</v>
      </c>
      <c r="J438" s="73"/>
    </row>
    <row r="439" spans="1:10" s="5" customFormat="1" hidden="1">
      <c r="A439" s="1069"/>
      <c r="B439" s="244"/>
      <c r="C439" s="383"/>
      <c r="D439" s="383"/>
      <c r="E439" s="433"/>
      <c r="F439" s="55"/>
      <c r="G439" s="55"/>
      <c r="H439" s="136">
        <f t="shared" si="12"/>
        <v>0</v>
      </c>
      <c r="I439" s="136">
        <f t="shared" si="13"/>
        <v>0</v>
      </c>
      <c r="J439" s="73"/>
    </row>
    <row r="440" spans="1:10" s="5" customFormat="1" hidden="1">
      <c r="A440" s="1069"/>
      <c r="B440" s="244"/>
      <c r="C440" s="383"/>
      <c r="D440" s="383"/>
      <c r="E440" s="433"/>
      <c r="F440" s="55"/>
      <c r="G440" s="55"/>
      <c r="H440" s="136">
        <f t="shared" si="12"/>
        <v>0</v>
      </c>
      <c r="I440" s="136">
        <f t="shared" si="13"/>
        <v>0</v>
      </c>
      <c r="J440" s="73"/>
    </row>
    <row r="441" spans="1:10" s="5" customFormat="1" hidden="1">
      <c r="A441" s="1069"/>
      <c r="B441" s="244"/>
      <c r="C441" s="383"/>
      <c r="D441" s="383"/>
      <c r="E441" s="433"/>
      <c r="F441" s="55"/>
      <c r="G441" s="55"/>
      <c r="H441" s="136">
        <f t="shared" si="12"/>
        <v>0</v>
      </c>
      <c r="I441" s="136">
        <f t="shared" si="13"/>
        <v>0</v>
      </c>
      <c r="J441" s="73"/>
    </row>
    <row r="442" spans="1:10" s="5" customFormat="1" hidden="1">
      <c r="A442" s="1069"/>
      <c r="B442" s="244"/>
      <c r="C442" s="383"/>
      <c r="D442" s="383"/>
      <c r="E442" s="433"/>
      <c r="F442" s="55"/>
      <c r="G442" s="55"/>
      <c r="H442" s="136">
        <f t="shared" si="12"/>
        <v>0</v>
      </c>
      <c r="I442" s="136">
        <f t="shared" si="13"/>
        <v>0</v>
      </c>
      <c r="J442" s="73"/>
    </row>
    <row r="443" spans="1:10" s="5" customFormat="1" hidden="1">
      <c r="A443" s="1069"/>
      <c r="B443" s="244"/>
      <c r="C443" s="383"/>
      <c r="D443" s="383"/>
      <c r="E443" s="433"/>
      <c r="F443" s="55"/>
      <c r="G443" s="55"/>
      <c r="H443" s="136">
        <f t="shared" si="12"/>
        <v>0</v>
      </c>
      <c r="I443" s="136">
        <f t="shared" si="13"/>
        <v>0</v>
      </c>
      <c r="J443" s="73"/>
    </row>
    <row r="444" spans="1:10" s="5" customFormat="1" hidden="1">
      <c r="A444" s="1069"/>
      <c r="B444" s="244"/>
      <c r="C444" s="383"/>
      <c r="D444" s="383"/>
      <c r="E444" s="433"/>
      <c r="F444" s="55"/>
      <c r="G444" s="55"/>
      <c r="H444" s="136">
        <f t="shared" si="12"/>
        <v>0</v>
      </c>
      <c r="I444" s="136">
        <f t="shared" si="13"/>
        <v>0</v>
      </c>
      <c r="J444" s="73"/>
    </row>
    <row r="445" spans="1:10" s="5" customFormat="1" hidden="1">
      <c r="A445" s="1069"/>
      <c r="B445" s="244"/>
      <c r="C445" s="383"/>
      <c r="D445" s="383"/>
      <c r="E445" s="433"/>
      <c r="F445" s="55"/>
      <c r="G445" s="55"/>
      <c r="H445" s="136">
        <f t="shared" si="12"/>
        <v>0</v>
      </c>
      <c r="I445" s="136">
        <f t="shared" si="13"/>
        <v>0</v>
      </c>
      <c r="J445" s="73"/>
    </row>
    <row r="446" spans="1:10">
      <c r="A446" s="1068"/>
      <c r="B446" s="467" t="s">
        <v>253</v>
      </c>
      <c r="C446" s="466">
        <f>SUM(C414:C445)</f>
        <v>13150</v>
      </c>
      <c r="D446" s="466">
        <f>SUM(D414:D445)</f>
        <v>0</v>
      </c>
      <c r="E446" s="466">
        <f>SUM(E414:E445)</f>
        <v>13150</v>
      </c>
      <c r="F446" s="75">
        <f>SUM(F414:F420)</f>
        <v>0</v>
      </c>
      <c r="G446" s="75">
        <f>SUM(G414:G420)</f>
        <v>0</v>
      </c>
      <c r="H446" s="459">
        <f t="shared" si="12"/>
        <v>0</v>
      </c>
      <c r="I446" s="459">
        <f t="shared" si="13"/>
        <v>26300</v>
      </c>
      <c r="J446" s="460"/>
    </row>
    <row r="447" spans="1:10" ht="93.75">
      <c r="A447" s="1068" t="s">
        <v>311</v>
      </c>
      <c r="B447" s="310" t="s">
        <v>1821</v>
      </c>
      <c r="C447" s="453">
        <v>117000</v>
      </c>
      <c r="D447" s="453"/>
      <c r="E447" s="453">
        <v>117000</v>
      </c>
      <c r="F447" s="138"/>
      <c r="G447" s="138"/>
      <c r="H447" s="459">
        <f t="shared" si="12"/>
        <v>0</v>
      </c>
      <c r="I447" s="459">
        <f t="shared" si="13"/>
        <v>234000</v>
      </c>
      <c r="J447" s="460"/>
    </row>
    <row r="448" spans="1:10" ht="112.5">
      <c r="A448" s="1068"/>
      <c r="B448" s="310" t="s">
        <v>1678</v>
      </c>
      <c r="C448" s="453">
        <f>1000000-197200</f>
        <v>802800</v>
      </c>
      <c r="D448" s="453"/>
      <c r="E448" s="453">
        <f>1000000-197200</f>
        <v>802800</v>
      </c>
      <c r="F448" s="388"/>
      <c r="G448" s="388"/>
      <c r="H448" s="459">
        <f t="shared" si="12"/>
        <v>0</v>
      </c>
      <c r="I448" s="459">
        <f t="shared" si="13"/>
        <v>1605600</v>
      </c>
      <c r="J448" s="460"/>
    </row>
    <row r="449" spans="1:10" ht="131.25">
      <c r="A449" s="1068"/>
      <c r="B449" s="310" t="s">
        <v>1681</v>
      </c>
      <c r="C449" s="453">
        <v>131470</v>
      </c>
      <c r="D449" s="453"/>
      <c r="E449" s="453">
        <v>131470</v>
      </c>
      <c r="F449" s="55"/>
      <c r="G449" s="55"/>
      <c r="H449" s="459">
        <f t="shared" si="12"/>
        <v>0</v>
      </c>
      <c r="I449" s="459">
        <f t="shared" si="13"/>
        <v>262940</v>
      </c>
      <c r="J449" s="460"/>
    </row>
    <row r="450" spans="1:10" s="5" customFormat="1" hidden="1">
      <c r="A450" s="1069"/>
      <c r="B450" s="244"/>
      <c r="C450" s="383"/>
      <c r="D450" s="430"/>
      <c r="E450" s="383"/>
      <c r="F450" s="55"/>
      <c r="G450" s="55"/>
      <c r="H450" s="136">
        <f t="shared" si="12"/>
        <v>0</v>
      </c>
      <c r="I450" s="136">
        <f t="shared" si="13"/>
        <v>0</v>
      </c>
      <c r="J450" s="73"/>
    </row>
    <row r="451" spans="1:10" s="5" customFormat="1" hidden="1">
      <c r="A451" s="1069"/>
      <c r="B451" s="244"/>
      <c r="C451" s="383"/>
      <c r="D451" s="383"/>
      <c r="E451" s="430"/>
      <c r="F451" s="55"/>
      <c r="G451" s="55"/>
      <c r="H451" s="136">
        <f t="shared" si="12"/>
        <v>0</v>
      </c>
      <c r="I451" s="136">
        <f t="shared" si="13"/>
        <v>0</v>
      </c>
      <c r="J451" s="73"/>
    </row>
    <row r="452" spans="1:10" s="5" customFormat="1" hidden="1">
      <c r="A452" s="1069"/>
      <c r="B452" s="244"/>
      <c r="C452" s="383"/>
      <c r="D452" s="430"/>
      <c r="E452" s="383"/>
      <c r="F452" s="55"/>
      <c r="G452" s="55"/>
      <c r="H452" s="136">
        <f t="shared" si="12"/>
        <v>0</v>
      </c>
      <c r="I452" s="136">
        <f t="shared" si="13"/>
        <v>0</v>
      </c>
      <c r="J452" s="73"/>
    </row>
    <row r="453" spans="1:10" s="5" customFormat="1" hidden="1">
      <c r="A453" s="1069"/>
      <c r="B453" s="244"/>
      <c r="C453" s="383"/>
      <c r="D453" s="383"/>
      <c r="E453" s="430"/>
      <c r="F453" s="55"/>
      <c r="G453" s="55"/>
      <c r="H453" s="136">
        <f t="shared" si="12"/>
        <v>0</v>
      </c>
      <c r="I453" s="136">
        <f t="shared" si="13"/>
        <v>0</v>
      </c>
      <c r="J453" s="73"/>
    </row>
    <row r="454" spans="1:10" s="5" customFormat="1" hidden="1">
      <c r="A454" s="1069"/>
      <c r="B454" s="244"/>
      <c r="C454" s="383"/>
      <c r="D454" s="383"/>
      <c r="E454" s="383"/>
      <c r="F454" s="55"/>
      <c r="G454" s="55"/>
      <c r="H454" s="136">
        <f t="shared" si="12"/>
        <v>0</v>
      </c>
      <c r="I454" s="136">
        <f t="shared" si="13"/>
        <v>0</v>
      </c>
      <c r="J454" s="73"/>
    </row>
    <row r="455" spans="1:10" s="5" customFormat="1" hidden="1">
      <c r="A455" s="1069"/>
      <c r="B455" s="244"/>
      <c r="C455" s="383"/>
      <c r="D455" s="383"/>
      <c r="E455" s="383"/>
      <c r="F455" s="55"/>
      <c r="G455" s="55"/>
      <c r="H455" s="136">
        <f t="shared" si="12"/>
        <v>0</v>
      </c>
      <c r="I455" s="136">
        <f t="shared" si="13"/>
        <v>0</v>
      </c>
      <c r="J455" s="73"/>
    </row>
    <row r="456" spans="1:10" s="5" customFormat="1" hidden="1">
      <c r="A456" s="1069"/>
      <c r="B456" s="244"/>
      <c r="C456" s="383"/>
      <c r="D456" s="383"/>
      <c r="E456" s="383"/>
      <c r="F456" s="55"/>
      <c r="G456" s="55"/>
      <c r="H456" s="136">
        <f t="shared" si="12"/>
        <v>0</v>
      </c>
      <c r="I456" s="136">
        <f t="shared" si="13"/>
        <v>0</v>
      </c>
      <c r="J456" s="73"/>
    </row>
    <row r="457" spans="1:10" s="5" customFormat="1" hidden="1">
      <c r="A457" s="1069"/>
      <c r="B457" s="244"/>
      <c r="C457" s="383"/>
      <c r="D457" s="383"/>
      <c r="E457" s="383"/>
      <c r="F457" s="55"/>
      <c r="G457" s="55"/>
      <c r="H457" s="136">
        <f t="shared" ref="H457:H520" si="14">E457+D457-C457</f>
        <v>0</v>
      </c>
      <c r="I457" s="136">
        <f t="shared" ref="I457:I520" si="15">SUM(C457:E457)</f>
        <v>0</v>
      </c>
      <c r="J457" s="73"/>
    </row>
    <row r="458" spans="1:10" s="5" customFormat="1" hidden="1">
      <c r="A458" s="1069"/>
      <c r="B458" s="244"/>
      <c r="C458" s="383"/>
      <c r="D458" s="383"/>
      <c r="E458" s="383"/>
      <c r="F458" s="55"/>
      <c r="G458" s="55"/>
      <c r="H458" s="136">
        <f t="shared" si="14"/>
        <v>0</v>
      </c>
      <c r="I458" s="136">
        <f t="shared" si="15"/>
        <v>0</v>
      </c>
      <c r="J458" s="73"/>
    </row>
    <row r="459" spans="1:10" s="5" customFormat="1" hidden="1">
      <c r="A459" s="1069"/>
      <c r="B459" s="244"/>
      <c r="C459" s="383"/>
      <c r="D459" s="383"/>
      <c r="E459" s="383"/>
      <c r="F459" s="55"/>
      <c r="G459" s="55"/>
      <c r="H459" s="136">
        <f t="shared" si="14"/>
        <v>0</v>
      </c>
      <c r="I459" s="136">
        <f t="shared" si="15"/>
        <v>0</v>
      </c>
      <c r="J459" s="73"/>
    </row>
    <row r="460" spans="1:10" s="5" customFormat="1" hidden="1">
      <c r="A460" s="1069"/>
      <c r="B460" s="244"/>
      <c r="C460" s="383"/>
      <c r="D460" s="383"/>
      <c r="E460" s="383"/>
      <c r="F460" s="55"/>
      <c r="G460" s="55"/>
      <c r="H460" s="136">
        <f t="shared" si="14"/>
        <v>0</v>
      </c>
      <c r="I460" s="136">
        <f t="shared" si="15"/>
        <v>0</v>
      </c>
      <c r="J460" s="73"/>
    </row>
    <row r="461" spans="1:10" s="5" customFormat="1" hidden="1">
      <c r="A461" s="1069"/>
      <c r="B461" s="244"/>
      <c r="C461" s="383"/>
      <c r="D461" s="383"/>
      <c r="E461" s="383"/>
      <c r="F461" s="55"/>
      <c r="G461" s="55"/>
      <c r="H461" s="136">
        <f t="shared" si="14"/>
        <v>0</v>
      </c>
      <c r="I461" s="136">
        <f t="shared" si="15"/>
        <v>0</v>
      </c>
      <c r="J461" s="73"/>
    </row>
    <row r="462" spans="1:10" s="5" customFormat="1" hidden="1">
      <c r="A462" s="1069"/>
      <c r="B462" s="244"/>
      <c r="C462" s="383"/>
      <c r="D462" s="383"/>
      <c r="E462" s="383"/>
      <c r="F462" s="55"/>
      <c r="G462" s="55"/>
      <c r="H462" s="136">
        <f t="shared" si="14"/>
        <v>0</v>
      </c>
      <c r="I462" s="136">
        <f t="shared" si="15"/>
        <v>0</v>
      </c>
      <c r="J462" s="73"/>
    </row>
    <row r="463" spans="1:10" s="5" customFormat="1" hidden="1">
      <c r="A463" s="1069"/>
      <c r="B463" s="244"/>
      <c r="C463" s="383"/>
      <c r="D463" s="430"/>
      <c r="E463" s="430"/>
      <c r="F463" s="55"/>
      <c r="G463" s="55"/>
      <c r="H463" s="136">
        <f t="shared" si="14"/>
        <v>0</v>
      </c>
      <c r="I463" s="136">
        <f t="shared" si="15"/>
        <v>0</v>
      </c>
      <c r="J463" s="73"/>
    </row>
    <row r="464" spans="1:10" s="5" customFormat="1" hidden="1">
      <c r="A464" s="1069"/>
      <c r="B464" s="244"/>
      <c r="C464" s="383"/>
      <c r="D464" s="383"/>
      <c r="E464" s="430"/>
      <c r="F464" s="55"/>
      <c r="G464" s="55"/>
      <c r="H464" s="136">
        <f t="shared" si="14"/>
        <v>0</v>
      </c>
      <c r="I464" s="136">
        <f t="shared" si="15"/>
        <v>0</v>
      </c>
      <c r="J464" s="73"/>
    </row>
    <row r="465" spans="1:10" s="5" customFormat="1" hidden="1">
      <c r="A465" s="1069"/>
      <c r="B465" s="244"/>
      <c r="C465" s="383"/>
      <c r="D465" s="383"/>
      <c r="E465" s="430"/>
      <c r="F465" s="55"/>
      <c r="G465" s="55"/>
      <c r="H465" s="136">
        <f t="shared" si="14"/>
        <v>0</v>
      </c>
      <c r="I465" s="136">
        <f t="shared" si="15"/>
        <v>0</v>
      </c>
      <c r="J465" s="73"/>
    </row>
    <row r="466" spans="1:10" s="5" customFormat="1" hidden="1">
      <c r="A466" s="1069"/>
      <c r="B466" s="244"/>
      <c r="C466" s="383"/>
      <c r="D466" s="383"/>
      <c r="E466" s="430"/>
      <c r="F466" s="55"/>
      <c r="G466" s="55"/>
      <c r="H466" s="136">
        <f t="shared" si="14"/>
        <v>0</v>
      </c>
      <c r="I466" s="136">
        <f t="shared" si="15"/>
        <v>0</v>
      </c>
      <c r="J466" s="73"/>
    </row>
    <row r="467" spans="1:10" s="5" customFormat="1" hidden="1">
      <c r="A467" s="1069"/>
      <c r="B467" s="244"/>
      <c r="C467" s="383"/>
      <c r="D467" s="383"/>
      <c r="E467" s="430"/>
      <c r="F467" s="55"/>
      <c r="G467" s="55"/>
      <c r="H467" s="136">
        <f t="shared" si="14"/>
        <v>0</v>
      </c>
      <c r="I467" s="136">
        <f t="shared" si="15"/>
        <v>0</v>
      </c>
      <c r="J467" s="73"/>
    </row>
    <row r="468" spans="1:10" s="5" customFormat="1" hidden="1">
      <c r="A468" s="1069"/>
      <c r="B468" s="244"/>
      <c r="C468" s="383"/>
      <c r="D468" s="383"/>
      <c r="E468" s="430"/>
      <c r="F468" s="55"/>
      <c r="G468" s="55"/>
      <c r="H468" s="136">
        <f t="shared" si="14"/>
        <v>0</v>
      </c>
      <c r="I468" s="136">
        <f t="shared" si="15"/>
        <v>0</v>
      </c>
      <c r="J468" s="73"/>
    </row>
    <row r="469" spans="1:10" s="5" customFormat="1" hidden="1">
      <c r="A469" s="1069"/>
      <c r="B469" s="244"/>
      <c r="C469" s="383"/>
      <c r="D469" s="383"/>
      <c r="E469" s="430"/>
      <c r="F469" s="55"/>
      <c r="G469" s="55"/>
      <c r="H469" s="136">
        <f t="shared" si="14"/>
        <v>0</v>
      </c>
      <c r="I469" s="136">
        <f t="shared" si="15"/>
        <v>0</v>
      </c>
      <c r="J469" s="73"/>
    </row>
    <row r="470" spans="1:10" s="5" customFormat="1" hidden="1">
      <c r="A470" s="1069"/>
      <c r="B470" s="244"/>
      <c r="C470" s="383"/>
      <c r="D470" s="383"/>
      <c r="E470" s="430"/>
      <c r="F470" s="55"/>
      <c r="G470" s="55"/>
      <c r="H470" s="136">
        <f t="shared" si="14"/>
        <v>0</v>
      </c>
      <c r="I470" s="136">
        <f t="shared" si="15"/>
        <v>0</v>
      </c>
      <c r="J470" s="73"/>
    </row>
    <row r="471" spans="1:10" s="5" customFormat="1" hidden="1">
      <c r="A471" s="1069"/>
      <c r="B471" s="244"/>
      <c r="C471" s="383"/>
      <c r="D471" s="383"/>
      <c r="E471" s="430"/>
      <c r="F471" s="55"/>
      <c r="G471" s="55"/>
      <c r="H471" s="136">
        <f t="shared" si="14"/>
        <v>0</v>
      </c>
      <c r="I471" s="136">
        <f t="shared" si="15"/>
        <v>0</v>
      </c>
      <c r="J471" s="73"/>
    </row>
    <row r="472" spans="1:10" s="5" customFormat="1" hidden="1">
      <c r="A472" s="1069"/>
      <c r="B472" s="244"/>
      <c r="C472" s="430"/>
      <c r="D472" s="430"/>
      <c r="E472" s="430"/>
      <c r="F472" s="55"/>
      <c r="G472" s="55"/>
      <c r="H472" s="136">
        <f t="shared" si="14"/>
        <v>0</v>
      </c>
      <c r="I472" s="136">
        <f t="shared" si="15"/>
        <v>0</v>
      </c>
      <c r="J472" s="73"/>
    </row>
    <row r="473" spans="1:10" s="5" customFormat="1" hidden="1">
      <c r="A473" s="1069"/>
      <c r="B473" s="244"/>
      <c r="C473" s="430"/>
      <c r="D473" s="430"/>
      <c r="E473" s="430"/>
      <c r="F473" s="55"/>
      <c r="G473" s="55"/>
      <c r="H473" s="136">
        <f t="shared" si="14"/>
        <v>0</v>
      </c>
      <c r="I473" s="136">
        <f t="shared" si="15"/>
        <v>0</v>
      </c>
      <c r="J473" s="73"/>
    </row>
    <row r="474" spans="1:10" s="5" customFormat="1" hidden="1">
      <c r="A474" s="1069"/>
      <c r="B474" s="244"/>
      <c r="C474" s="383"/>
      <c r="D474" s="383"/>
      <c r="E474" s="430"/>
      <c r="F474" s="55"/>
      <c r="G474" s="55"/>
      <c r="H474" s="136">
        <f t="shared" si="14"/>
        <v>0</v>
      </c>
      <c r="I474" s="136">
        <f t="shared" si="15"/>
        <v>0</v>
      </c>
      <c r="J474" s="73"/>
    </row>
    <row r="475" spans="1:10" s="5" customFormat="1" hidden="1">
      <c r="A475" s="1069"/>
      <c r="B475" s="244"/>
      <c r="C475" s="430"/>
      <c r="D475" s="430"/>
      <c r="E475" s="430"/>
      <c r="F475" s="55"/>
      <c r="G475" s="55"/>
      <c r="H475" s="136">
        <f t="shared" si="14"/>
        <v>0</v>
      </c>
      <c r="I475" s="136">
        <f t="shared" si="15"/>
        <v>0</v>
      </c>
      <c r="J475" s="73"/>
    </row>
    <row r="476" spans="1:10" s="5" customFormat="1" hidden="1">
      <c r="A476" s="1069"/>
      <c r="B476" s="244"/>
      <c r="C476" s="430"/>
      <c r="D476" s="430"/>
      <c r="E476" s="430"/>
      <c r="F476" s="55"/>
      <c r="G476" s="55"/>
      <c r="H476" s="136">
        <f t="shared" si="14"/>
        <v>0</v>
      </c>
      <c r="I476" s="136">
        <f t="shared" si="15"/>
        <v>0</v>
      </c>
      <c r="J476" s="73"/>
    </row>
    <row r="477" spans="1:10" s="5" customFormat="1" hidden="1">
      <c r="A477" s="1069"/>
      <c r="B477" s="244"/>
      <c r="C477" s="430"/>
      <c r="D477" s="430"/>
      <c r="E477" s="430"/>
      <c r="F477" s="55"/>
      <c r="G477" s="55"/>
      <c r="H477" s="136">
        <f t="shared" si="14"/>
        <v>0</v>
      </c>
      <c r="I477" s="136">
        <f t="shared" si="15"/>
        <v>0</v>
      </c>
      <c r="J477" s="73"/>
    </row>
    <row r="478" spans="1:10" s="5" customFormat="1" hidden="1">
      <c r="A478" s="1069"/>
      <c r="B478" s="244"/>
      <c r="C478" s="383"/>
      <c r="D478" s="383"/>
      <c r="E478" s="433"/>
      <c r="F478" s="55"/>
      <c r="G478" s="55"/>
      <c r="H478" s="136">
        <f t="shared" si="14"/>
        <v>0</v>
      </c>
      <c r="I478" s="136">
        <f t="shared" si="15"/>
        <v>0</v>
      </c>
      <c r="J478" s="73"/>
    </row>
    <row r="479" spans="1:10" s="5" customFormat="1" hidden="1">
      <c r="A479" s="1069"/>
      <c r="B479" s="244"/>
      <c r="C479" s="383"/>
      <c r="D479" s="383"/>
      <c r="E479" s="433"/>
      <c r="F479" s="55"/>
      <c r="G479" s="55"/>
      <c r="H479" s="136">
        <f t="shared" si="14"/>
        <v>0</v>
      </c>
      <c r="I479" s="136">
        <f t="shared" si="15"/>
        <v>0</v>
      </c>
      <c r="J479" s="73"/>
    </row>
    <row r="480" spans="1:10" s="5" customFormat="1" hidden="1">
      <c r="A480" s="1069"/>
      <c r="B480" s="244"/>
      <c r="C480" s="383"/>
      <c r="D480" s="383"/>
      <c r="E480" s="433"/>
      <c r="F480" s="55"/>
      <c r="G480" s="55"/>
      <c r="H480" s="136">
        <f t="shared" si="14"/>
        <v>0</v>
      </c>
      <c r="I480" s="136">
        <f t="shared" si="15"/>
        <v>0</v>
      </c>
      <c r="J480" s="73"/>
    </row>
    <row r="481" spans="1:10" s="5" customFormat="1" hidden="1">
      <c r="A481" s="1069"/>
      <c r="B481" s="246"/>
      <c r="C481" s="434"/>
      <c r="D481" s="434"/>
      <c r="E481" s="435"/>
      <c r="F481" s="55"/>
      <c r="G481" s="55"/>
      <c r="H481" s="136">
        <f t="shared" si="14"/>
        <v>0</v>
      </c>
      <c r="I481" s="136">
        <f t="shared" si="15"/>
        <v>0</v>
      </c>
      <c r="J481" s="73"/>
    </row>
    <row r="482" spans="1:10" s="5" customFormat="1" hidden="1">
      <c r="A482" s="1069"/>
      <c r="B482" s="244"/>
      <c r="C482" s="430"/>
      <c r="D482" s="430"/>
      <c r="E482" s="430"/>
      <c r="F482" s="55"/>
      <c r="G482" s="55"/>
      <c r="H482" s="136">
        <f t="shared" si="14"/>
        <v>0</v>
      </c>
      <c r="I482" s="136">
        <f t="shared" si="15"/>
        <v>0</v>
      </c>
      <c r="J482" s="73"/>
    </row>
    <row r="483" spans="1:10" s="5" customFormat="1" hidden="1">
      <c r="A483" s="1069"/>
      <c r="B483" s="244"/>
      <c r="C483" s="430"/>
      <c r="D483" s="430"/>
      <c r="E483" s="430"/>
      <c r="F483" s="55"/>
      <c r="G483" s="55"/>
      <c r="H483" s="136">
        <f t="shared" si="14"/>
        <v>0</v>
      </c>
      <c r="I483" s="136">
        <f t="shared" si="15"/>
        <v>0</v>
      </c>
      <c r="J483" s="73"/>
    </row>
    <row r="484" spans="1:10" s="5" customFormat="1" hidden="1">
      <c r="A484" s="1069"/>
      <c r="B484" s="244"/>
      <c r="C484" s="433"/>
      <c r="D484" s="433"/>
      <c r="E484" s="433"/>
      <c r="F484" s="55"/>
      <c r="G484" s="55"/>
      <c r="H484" s="136">
        <f t="shared" si="14"/>
        <v>0</v>
      </c>
      <c r="I484" s="136">
        <f t="shared" si="15"/>
        <v>0</v>
      </c>
      <c r="J484" s="73"/>
    </row>
    <row r="485" spans="1:10" s="5" customFormat="1" hidden="1">
      <c r="A485" s="1069"/>
      <c r="B485" s="244"/>
      <c r="C485" s="433"/>
      <c r="D485" s="433"/>
      <c r="E485" s="433"/>
      <c r="F485" s="55"/>
      <c r="G485" s="55"/>
      <c r="H485" s="136">
        <f t="shared" si="14"/>
        <v>0</v>
      </c>
      <c r="I485" s="136">
        <f t="shared" si="15"/>
        <v>0</v>
      </c>
      <c r="J485" s="73"/>
    </row>
    <row r="486" spans="1:10" s="5" customFormat="1" hidden="1">
      <c r="A486" s="1069"/>
      <c r="B486" s="244"/>
      <c r="C486" s="433"/>
      <c r="D486" s="433"/>
      <c r="E486" s="433"/>
      <c r="F486" s="55"/>
      <c r="G486" s="55"/>
      <c r="H486" s="136">
        <f t="shared" si="14"/>
        <v>0</v>
      </c>
      <c r="I486" s="136">
        <f t="shared" si="15"/>
        <v>0</v>
      </c>
      <c r="J486" s="73"/>
    </row>
    <row r="487" spans="1:10" s="5" customFormat="1" hidden="1">
      <c r="A487" s="1069"/>
      <c r="B487" s="244"/>
      <c r="C487" s="433"/>
      <c r="D487" s="433"/>
      <c r="E487" s="433"/>
      <c r="F487" s="55"/>
      <c r="G487" s="55"/>
      <c r="H487" s="136">
        <f t="shared" si="14"/>
        <v>0</v>
      </c>
      <c r="I487" s="136">
        <f t="shared" si="15"/>
        <v>0</v>
      </c>
      <c r="J487" s="73"/>
    </row>
    <row r="488" spans="1:10" s="5" customFormat="1" hidden="1">
      <c r="A488" s="1069"/>
      <c r="B488" s="244"/>
      <c r="C488" s="433"/>
      <c r="D488" s="433"/>
      <c r="E488" s="433"/>
      <c r="F488" s="55"/>
      <c r="G488" s="55"/>
      <c r="H488" s="136">
        <f t="shared" si="14"/>
        <v>0</v>
      </c>
      <c r="I488" s="136">
        <f t="shared" si="15"/>
        <v>0</v>
      </c>
      <c r="J488" s="73"/>
    </row>
    <row r="489" spans="1:10" s="5" customFormat="1" hidden="1">
      <c r="A489" s="1069"/>
      <c r="B489" s="244"/>
      <c r="C489" s="433"/>
      <c r="D489" s="433"/>
      <c r="E489" s="433"/>
      <c r="F489" s="55"/>
      <c r="G489" s="55"/>
      <c r="H489" s="136">
        <f t="shared" si="14"/>
        <v>0</v>
      </c>
      <c r="I489" s="136">
        <f t="shared" si="15"/>
        <v>0</v>
      </c>
      <c r="J489" s="73"/>
    </row>
    <row r="490" spans="1:10" s="5" customFormat="1" hidden="1">
      <c r="A490" s="1069"/>
      <c r="B490" s="244"/>
      <c r="C490" s="433"/>
      <c r="D490" s="433"/>
      <c r="E490" s="433"/>
      <c r="F490" s="55"/>
      <c r="G490" s="55"/>
      <c r="H490" s="136">
        <f t="shared" si="14"/>
        <v>0</v>
      </c>
      <c r="I490" s="136">
        <f t="shared" si="15"/>
        <v>0</v>
      </c>
      <c r="J490" s="73"/>
    </row>
    <row r="491" spans="1:10" s="5" customFormat="1" hidden="1">
      <c r="A491" s="1069"/>
      <c r="B491" s="244"/>
      <c r="C491" s="433"/>
      <c r="D491" s="433"/>
      <c r="E491" s="433"/>
      <c r="F491" s="55"/>
      <c r="G491" s="55"/>
      <c r="H491" s="136">
        <f t="shared" si="14"/>
        <v>0</v>
      </c>
      <c r="I491" s="136">
        <f t="shared" si="15"/>
        <v>0</v>
      </c>
      <c r="J491" s="73"/>
    </row>
    <row r="492" spans="1:10" s="5" customFormat="1" hidden="1">
      <c r="A492" s="1069"/>
      <c r="B492" s="244"/>
      <c r="C492" s="433"/>
      <c r="D492" s="433"/>
      <c r="E492" s="433"/>
      <c r="F492" s="55"/>
      <c r="G492" s="55"/>
      <c r="H492" s="136">
        <f t="shared" si="14"/>
        <v>0</v>
      </c>
      <c r="I492" s="136">
        <f t="shared" si="15"/>
        <v>0</v>
      </c>
      <c r="J492" s="73"/>
    </row>
    <row r="493" spans="1:10" s="5" customFormat="1" hidden="1">
      <c r="A493" s="1069"/>
      <c r="B493" s="244"/>
      <c r="C493" s="383"/>
      <c r="D493" s="433"/>
      <c r="E493" s="433"/>
      <c r="F493" s="55"/>
      <c r="G493" s="55"/>
      <c r="H493" s="136">
        <f t="shared" si="14"/>
        <v>0</v>
      </c>
      <c r="I493" s="136">
        <f t="shared" si="15"/>
        <v>0</v>
      </c>
      <c r="J493" s="73"/>
    </row>
    <row r="494" spans="1:10" s="5" customFormat="1" hidden="1">
      <c r="A494" s="1069"/>
      <c r="B494" s="244"/>
      <c r="C494" s="383"/>
      <c r="D494" s="433"/>
      <c r="E494" s="433"/>
      <c r="F494" s="55"/>
      <c r="G494" s="55"/>
      <c r="H494" s="136">
        <f t="shared" si="14"/>
        <v>0</v>
      </c>
      <c r="I494" s="136">
        <f t="shared" si="15"/>
        <v>0</v>
      </c>
      <c r="J494" s="73"/>
    </row>
    <row r="495" spans="1:10" s="5" customFormat="1" hidden="1">
      <c r="A495" s="1069"/>
      <c r="B495" s="244"/>
      <c r="C495" s="383"/>
      <c r="D495" s="433"/>
      <c r="E495" s="433"/>
      <c r="F495" s="55"/>
      <c r="G495" s="55"/>
      <c r="H495" s="136">
        <f t="shared" si="14"/>
        <v>0</v>
      </c>
      <c r="I495" s="136">
        <f t="shared" si="15"/>
        <v>0</v>
      </c>
      <c r="J495" s="73"/>
    </row>
    <row r="496" spans="1:10">
      <c r="A496" s="1068"/>
      <c r="B496" s="461" t="s">
        <v>253</v>
      </c>
      <c r="C496" s="470">
        <f>SUM(C447:C495)</f>
        <v>1051270</v>
      </c>
      <c r="D496" s="470">
        <f>SUM(D447:D495)</f>
        <v>0</v>
      </c>
      <c r="E496" s="470">
        <f>SUM(E447:E495)</f>
        <v>1051270</v>
      </c>
      <c r="F496" s="75">
        <f>SUM(F447:F463)</f>
        <v>0</v>
      </c>
      <c r="G496" s="75">
        <f>SUM(G447:G463)</f>
        <v>0</v>
      </c>
      <c r="H496" s="459">
        <f t="shared" si="14"/>
        <v>0</v>
      </c>
      <c r="I496" s="459">
        <f t="shared" si="15"/>
        <v>2102540</v>
      </c>
      <c r="J496" s="460"/>
    </row>
    <row r="497" spans="1:10" s="464" customFormat="1" ht="93.75">
      <c r="A497" s="1068" t="s">
        <v>312</v>
      </c>
      <c r="B497" s="310" t="s">
        <v>1819</v>
      </c>
      <c r="C497" s="453">
        <f>42100+200</f>
        <v>42300</v>
      </c>
      <c r="D497" s="453"/>
      <c r="E497" s="453">
        <f>42100+200</f>
        <v>42300</v>
      </c>
      <c r="F497" s="233"/>
      <c r="G497" s="233"/>
      <c r="H497" s="459">
        <f t="shared" si="14"/>
        <v>0</v>
      </c>
      <c r="I497" s="459">
        <f t="shared" si="15"/>
        <v>84600</v>
      </c>
      <c r="J497" s="460"/>
    </row>
    <row r="498" spans="1:10" s="5" customFormat="1" hidden="1">
      <c r="A498" s="1069"/>
      <c r="B498" s="244"/>
      <c r="C498" s="383"/>
      <c r="D498" s="383"/>
      <c r="E498" s="430"/>
      <c r="F498" s="55"/>
      <c r="G498" s="55"/>
      <c r="H498" s="136">
        <f t="shared" si="14"/>
        <v>0</v>
      </c>
      <c r="I498" s="136">
        <f t="shared" si="15"/>
        <v>0</v>
      </c>
      <c r="J498" s="73"/>
    </row>
    <row r="499" spans="1:10" s="5" customFormat="1" hidden="1">
      <c r="A499" s="1069"/>
      <c r="B499" s="244"/>
      <c r="C499" s="383"/>
      <c r="D499" s="383"/>
      <c r="E499" s="430"/>
      <c r="F499" s="55"/>
      <c r="G499" s="55"/>
      <c r="H499" s="136">
        <f t="shared" si="14"/>
        <v>0</v>
      </c>
      <c r="I499" s="136">
        <f t="shared" si="15"/>
        <v>0</v>
      </c>
      <c r="J499" s="73"/>
    </row>
    <row r="500" spans="1:10" s="5" customFormat="1" hidden="1">
      <c r="A500" s="1069"/>
      <c r="B500" s="244"/>
      <c r="C500" s="383"/>
      <c r="D500" s="383"/>
      <c r="E500" s="430"/>
      <c r="F500" s="55"/>
      <c r="G500" s="55"/>
      <c r="H500" s="136">
        <f t="shared" si="14"/>
        <v>0</v>
      </c>
      <c r="I500" s="136">
        <f t="shared" si="15"/>
        <v>0</v>
      </c>
      <c r="J500" s="73"/>
    </row>
    <row r="501" spans="1:10" s="5" customFormat="1" hidden="1">
      <c r="A501" s="1069"/>
      <c r="B501" s="244"/>
      <c r="C501" s="383"/>
      <c r="D501" s="383"/>
      <c r="E501" s="430"/>
      <c r="F501" s="55"/>
      <c r="G501" s="55"/>
      <c r="H501" s="136">
        <f t="shared" si="14"/>
        <v>0</v>
      </c>
      <c r="I501" s="136">
        <f t="shared" si="15"/>
        <v>0</v>
      </c>
      <c r="J501" s="73"/>
    </row>
    <row r="502" spans="1:10" s="5" customFormat="1" hidden="1">
      <c r="A502" s="1069"/>
      <c r="B502" s="244"/>
      <c r="C502" s="383"/>
      <c r="D502" s="383"/>
      <c r="E502" s="430"/>
      <c r="F502" s="55"/>
      <c r="G502" s="55"/>
      <c r="H502" s="136">
        <f t="shared" si="14"/>
        <v>0</v>
      </c>
      <c r="I502" s="136">
        <f t="shared" si="15"/>
        <v>0</v>
      </c>
      <c r="J502" s="73"/>
    </row>
    <row r="503" spans="1:10" s="5" customFormat="1" hidden="1">
      <c r="A503" s="1069"/>
      <c r="B503" s="244"/>
      <c r="C503" s="383"/>
      <c r="D503" s="383"/>
      <c r="E503" s="430"/>
      <c r="F503" s="55"/>
      <c r="G503" s="55"/>
      <c r="H503" s="136">
        <f t="shared" si="14"/>
        <v>0</v>
      </c>
      <c r="I503" s="136">
        <f t="shared" si="15"/>
        <v>0</v>
      </c>
      <c r="J503" s="73"/>
    </row>
    <row r="504" spans="1:10" s="5" customFormat="1" hidden="1">
      <c r="A504" s="1069"/>
      <c r="B504" s="244"/>
      <c r="C504" s="383"/>
      <c r="D504" s="383"/>
      <c r="E504" s="430"/>
      <c r="F504" s="55"/>
      <c r="G504" s="55"/>
      <c r="H504" s="136">
        <f t="shared" si="14"/>
        <v>0</v>
      </c>
      <c r="I504" s="136">
        <f t="shared" si="15"/>
        <v>0</v>
      </c>
      <c r="J504" s="73"/>
    </row>
    <row r="505" spans="1:10" s="5" customFormat="1" hidden="1">
      <c r="A505" s="1069"/>
      <c r="B505" s="244"/>
      <c r="C505" s="383"/>
      <c r="D505" s="383"/>
      <c r="E505" s="430"/>
      <c r="F505" s="55"/>
      <c r="G505" s="55"/>
      <c r="H505" s="136">
        <f t="shared" si="14"/>
        <v>0</v>
      </c>
      <c r="I505" s="136">
        <f t="shared" si="15"/>
        <v>0</v>
      </c>
      <c r="J505" s="73"/>
    </row>
    <row r="506" spans="1:10" s="5" customFormat="1" hidden="1">
      <c r="A506" s="1069"/>
      <c r="B506" s="244"/>
      <c r="C506" s="383"/>
      <c r="D506" s="383"/>
      <c r="E506" s="430"/>
      <c r="F506" s="55"/>
      <c r="G506" s="55"/>
      <c r="H506" s="136">
        <f t="shared" si="14"/>
        <v>0</v>
      </c>
      <c r="I506" s="136">
        <f t="shared" si="15"/>
        <v>0</v>
      </c>
      <c r="J506" s="73"/>
    </row>
    <row r="507" spans="1:10" s="5" customFormat="1" hidden="1">
      <c r="A507" s="1069"/>
      <c r="B507" s="244"/>
      <c r="C507" s="383"/>
      <c r="D507" s="383"/>
      <c r="E507" s="430"/>
      <c r="F507" s="55"/>
      <c r="G507" s="55"/>
      <c r="H507" s="136">
        <f t="shared" si="14"/>
        <v>0</v>
      </c>
      <c r="I507" s="136">
        <f t="shared" si="15"/>
        <v>0</v>
      </c>
      <c r="J507" s="73"/>
    </row>
    <row r="508" spans="1:10" s="5" customFormat="1" hidden="1">
      <c r="A508" s="1069"/>
      <c r="B508" s="244"/>
      <c r="C508" s="383"/>
      <c r="D508" s="383"/>
      <c r="E508" s="430"/>
      <c r="F508" s="55"/>
      <c r="G508" s="55"/>
      <c r="H508" s="136">
        <f t="shared" si="14"/>
        <v>0</v>
      </c>
      <c r="I508" s="136">
        <f t="shared" si="15"/>
        <v>0</v>
      </c>
      <c r="J508" s="73"/>
    </row>
    <row r="509" spans="1:10" s="5" customFormat="1" hidden="1">
      <c r="A509" s="1069"/>
      <c r="B509" s="244"/>
      <c r="C509" s="383"/>
      <c r="D509" s="383"/>
      <c r="E509" s="430"/>
      <c r="F509" s="55"/>
      <c r="G509" s="55"/>
      <c r="H509" s="136">
        <f t="shared" si="14"/>
        <v>0</v>
      </c>
      <c r="I509" s="136">
        <f t="shared" si="15"/>
        <v>0</v>
      </c>
      <c r="J509" s="73"/>
    </row>
    <row r="510" spans="1:10" s="5" customFormat="1" hidden="1">
      <c r="A510" s="1069"/>
      <c r="B510" s="244"/>
      <c r="C510" s="383"/>
      <c r="D510" s="383"/>
      <c r="E510" s="430"/>
      <c r="F510" s="55"/>
      <c r="G510" s="55"/>
      <c r="H510" s="136">
        <f t="shared" si="14"/>
        <v>0</v>
      </c>
      <c r="I510" s="136">
        <f t="shared" si="15"/>
        <v>0</v>
      </c>
      <c r="J510" s="73"/>
    </row>
    <row r="511" spans="1:10" s="5" customFormat="1" hidden="1">
      <c r="A511" s="1069"/>
      <c r="B511" s="244"/>
      <c r="C511" s="383"/>
      <c r="D511" s="383"/>
      <c r="E511" s="433"/>
      <c r="F511" s="55"/>
      <c r="G511" s="55"/>
      <c r="H511" s="136">
        <f t="shared" si="14"/>
        <v>0</v>
      </c>
      <c r="I511" s="136">
        <f t="shared" si="15"/>
        <v>0</v>
      </c>
      <c r="J511" s="73"/>
    </row>
    <row r="512" spans="1:10" s="5" customFormat="1" hidden="1">
      <c r="A512" s="1069"/>
      <c r="B512" s="244"/>
      <c r="C512" s="383"/>
      <c r="D512" s="383"/>
      <c r="E512" s="433"/>
      <c r="F512" s="55"/>
      <c r="G512" s="55"/>
      <c r="H512" s="136">
        <f t="shared" si="14"/>
        <v>0</v>
      </c>
      <c r="I512" s="136">
        <f t="shared" si="15"/>
        <v>0</v>
      </c>
      <c r="J512" s="73"/>
    </row>
    <row r="513" spans="1:10" s="5" customFormat="1" hidden="1">
      <c r="A513" s="1069"/>
      <c r="B513" s="244"/>
      <c r="C513" s="434"/>
      <c r="D513" s="434"/>
      <c r="E513" s="436"/>
      <c r="F513" s="55"/>
      <c r="G513" s="55"/>
      <c r="H513" s="136">
        <f t="shared" si="14"/>
        <v>0</v>
      </c>
      <c r="I513" s="136">
        <f t="shared" si="15"/>
        <v>0</v>
      </c>
      <c r="J513" s="73"/>
    </row>
    <row r="514" spans="1:10" s="5" customFormat="1" hidden="1">
      <c r="A514" s="1069"/>
      <c r="B514" s="244"/>
      <c r="C514" s="434"/>
      <c r="D514" s="434"/>
      <c r="E514" s="436"/>
      <c r="F514" s="55"/>
      <c r="G514" s="55"/>
      <c r="H514" s="136">
        <f t="shared" si="14"/>
        <v>0</v>
      </c>
      <c r="I514" s="136">
        <f t="shared" si="15"/>
        <v>0</v>
      </c>
      <c r="J514" s="73"/>
    </row>
    <row r="515" spans="1:10" s="5" customFormat="1" hidden="1">
      <c r="A515" s="1069"/>
      <c r="B515" s="244"/>
      <c r="C515" s="383"/>
      <c r="D515" s="383"/>
      <c r="E515" s="433"/>
      <c r="F515" s="55"/>
      <c r="G515" s="55"/>
      <c r="H515" s="136">
        <f t="shared" si="14"/>
        <v>0</v>
      </c>
      <c r="I515" s="136">
        <f t="shared" si="15"/>
        <v>0</v>
      </c>
      <c r="J515" s="73"/>
    </row>
    <row r="516" spans="1:10" s="5" customFormat="1" hidden="1">
      <c r="A516" s="1069"/>
      <c r="B516" s="244"/>
      <c r="C516" s="383"/>
      <c r="D516" s="383"/>
      <c r="E516" s="433"/>
      <c r="F516" s="55"/>
      <c r="G516" s="55"/>
      <c r="H516" s="136">
        <f t="shared" si="14"/>
        <v>0</v>
      </c>
      <c r="I516" s="136">
        <f t="shared" si="15"/>
        <v>0</v>
      </c>
      <c r="J516" s="73"/>
    </row>
    <row r="517" spans="1:10" s="5" customFormat="1" hidden="1">
      <c r="A517" s="1069"/>
      <c r="B517" s="244"/>
      <c r="C517" s="383"/>
      <c r="D517" s="383"/>
      <c r="E517" s="433"/>
      <c r="F517" s="55"/>
      <c r="G517" s="55"/>
      <c r="H517" s="136">
        <f t="shared" si="14"/>
        <v>0</v>
      </c>
      <c r="I517" s="136">
        <f t="shared" si="15"/>
        <v>0</v>
      </c>
      <c r="J517" s="73"/>
    </row>
    <row r="518" spans="1:10" s="5" customFormat="1" hidden="1">
      <c r="A518" s="1069"/>
      <c r="B518" s="244"/>
      <c r="C518" s="383"/>
      <c r="D518" s="383"/>
      <c r="E518" s="433"/>
      <c r="F518" s="55"/>
      <c r="G518" s="55"/>
      <c r="H518" s="136">
        <f t="shared" si="14"/>
        <v>0</v>
      </c>
      <c r="I518" s="136">
        <f t="shared" si="15"/>
        <v>0</v>
      </c>
      <c r="J518" s="73"/>
    </row>
    <row r="519" spans="1:10" s="5" customFormat="1" hidden="1">
      <c r="A519" s="1069"/>
      <c r="B519" s="244"/>
      <c r="C519" s="383"/>
      <c r="D519" s="383"/>
      <c r="E519" s="433"/>
      <c r="F519" s="55"/>
      <c r="G519" s="55"/>
      <c r="H519" s="136">
        <f t="shared" si="14"/>
        <v>0</v>
      </c>
      <c r="I519" s="136">
        <f t="shared" si="15"/>
        <v>0</v>
      </c>
      <c r="J519" s="73"/>
    </row>
    <row r="520" spans="1:10" s="5" customFormat="1" hidden="1">
      <c r="A520" s="1069"/>
      <c r="B520" s="244"/>
      <c r="C520" s="383"/>
      <c r="D520" s="383"/>
      <c r="E520" s="433"/>
      <c r="F520" s="55"/>
      <c r="G520" s="55"/>
      <c r="H520" s="136">
        <f t="shared" si="14"/>
        <v>0</v>
      </c>
      <c r="I520" s="136">
        <f t="shared" si="15"/>
        <v>0</v>
      </c>
      <c r="J520" s="73"/>
    </row>
    <row r="521" spans="1:10" s="5" customFormat="1" hidden="1">
      <c r="A521" s="1069"/>
      <c r="B521" s="244"/>
      <c r="C521" s="383"/>
      <c r="D521" s="383"/>
      <c r="E521" s="433"/>
      <c r="F521" s="55"/>
      <c r="G521" s="55"/>
      <c r="H521" s="136">
        <f t="shared" ref="H521:H584" si="16">E521+D521-C521</f>
        <v>0</v>
      </c>
      <c r="I521" s="136">
        <f t="shared" ref="I521:I584" si="17">SUM(C521:E521)</f>
        <v>0</v>
      </c>
      <c r="J521" s="73"/>
    </row>
    <row r="522" spans="1:10" s="5" customFormat="1" hidden="1">
      <c r="A522" s="1069"/>
      <c r="B522" s="244"/>
      <c r="C522" s="383"/>
      <c r="D522" s="383"/>
      <c r="E522" s="433"/>
      <c r="F522" s="55"/>
      <c r="G522" s="55"/>
      <c r="H522" s="136">
        <f t="shared" si="16"/>
        <v>0</v>
      </c>
      <c r="I522" s="136">
        <f t="shared" si="17"/>
        <v>0</v>
      </c>
      <c r="J522" s="73"/>
    </row>
    <row r="523" spans="1:10" s="5" customFormat="1" hidden="1">
      <c r="A523" s="1069"/>
      <c r="B523" s="244"/>
      <c r="C523" s="383"/>
      <c r="D523" s="383"/>
      <c r="E523" s="433"/>
      <c r="F523" s="55"/>
      <c r="G523" s="55"/>
      <c r="H523" s="136">
        <f t="shared" si="16"/>
        <v>0</v>
      </c>
      <c r="I523" s="136">
        <f t="shared" si="17"/>
        <v>0</v>
      </c>
      <c r="J523" s="73"/>
    </row>
    <row r="524" spans="1:10" s="5" customFormat="1" hidden="1">
      <c r="A524" s="1069"/>
      <c r="B524" s="244"/>
      <c r="C524" s="383"/>
      <c r="D524" s="383"/>
      <c r="E524" s="433"/>
      <c r="F524" s="55"/>
      <c r="G524" s="55"/>
      <c r="H524" s="136">
        <f t="shared" si="16"/>
        <v>0</v>
      </c>
      <c r="I524" s="136">
        <f t="shared" si="17"/>
        <v>0</v>
      </c>
      <c r="J524" s="73"/>
    </row>
    <row r="525" spans="1:10" s="5" customFormat="1" hidden="1">
      <c r="A525" s="1069"/>
      <c r="B525" s="244"/>
      <c r="C525" s="383"/>
      <c r="D525" s="383"/>
      <c r="E525" s="433"/>
      <c r="F525" s="55"/>
      <c r="G525" s="55"/>
      <c r="H525" s="136">
        <f t="shared" si="16"/>
        <v>0</v>
      </c>
      <c r="I525" s="136">
        <f t="shared" si="17"/>
        <v>0</v>
      </c>
      <c r="J525" s="73"/>
    </row>
    <row r="526" spans="1:10" s="5" customFormat="1" hidden="1">
      <c r="A526" s="1069"/>
      <c r="B526" s="244"/>
      <c r="C526" s="383"/>
      <c r="D526" s="383"/>
      <c r="E526" s="433"/>
      <c r="F526" s="55"/>
      <c r="G526" s="55"/>
      <c r="H526" s="136">
        <f t="shared" si="16"/>
        <v>0</v>
      </c>
      <c r="I526" s="136">
        <f t="shared" si="17"/>
        <v>0</v>
      </c>
      <c r="J526" s="73"/>
    </row>
    <row r="527" spans="1:10" s="5" customFormat="1" hidden="1">
      <c r="A527" s="1069"/>
      <c r="B527" s="244"/>
      <c r="C527" s="383"/>
      <c r="D527" s="383"/>
      <c r="E527" s="433"/>
      <c r="F527" s="55"/>
      <c r="G527" s="55"/>
      <c r="H527" s="136">
        <f t="shared" si="16"/>
        <v>0</v>
      </c>
      <c r="I527" s="136">
        <f t="shared" si="17"/>
        <v>0</v>
      </c>
      <c r="J527" s="73"/>
    </row>
    <row r="528" spans="1:10" s="5" customFormat="1" hidden="1">
      <c r="A528" s="1069"/>
      <c r="B528" s="244"/>
      <c r="C528" s="383"/>
      <c r="D528" s="383"/>
      <c r="E528" s="433"/>
      <c r="F528" s="55"/>
      <c r="G528" s="55"/>
      <c r="H528" s="136">
        <f t="shared" si="16"/>
        <v>0</v>
      </c>
      <c r="I528" s="136">
        <f t="shared" si="17"/>
        <v>0</v>
      </c>
      <c r="J528" s="73"/>
    </row>
    <row r="529" spans="1:10" s="5" customFormat="1" hidden="1">
      <c r="A529" s="1069"/>
      <c r="B529" s="244"/>
      <c r="C529" s="383"/>
      <c r="D529" s="383"/>
      <c r="E529" s="433"/>
      <c r="F529" s="55"/>
      <c r="G529" s="55"/>
      <c r="H529" s="136">
        <f t="shared" si="16"/>
        <v>0</v>
      </c>
      <c r="I529" s="136">
        <f t="shared" si="17"/>
        <v>0</v>
      </c>
      <c r="J529" s="73"/>
    </row>
    <row r="530" spans="1:10" s="5" customFormat="1" hidden="1">
      <c r="A530" s="1069"/>
      <c r="B530" s="244"/>
      <c r="C530" s="383"/>
      <c r="D530" s="383"/>
      <c r="E530" s="433"/>
      <c r="F530" s="55"/>
      <c r="G530" s="55"/>
      <c r="H530" s="136">
        <f t="shared" si="16"/>
        <v>0</v>
      </c>
      <c r="I530" s="136">
        <f t="shared" si="17"/>
        <v>0</v>
      </c>
      <c r="J530" s="73"/>
    </row>
    <row r="531" spans="1:10" s="5" customFormat="1" hidden="1">
      <c r="A531" s="1069"/>
      <c r="B531" s="244"/>
      <c r="C531" s="383"/>
      <c r="D531" s="383"/>
      <c r="E531" s="433"/>
      <c r="F531" s="55"/>
      <c r="G531" s="55"/>
      <c r="H531" s="136">
        <f t="shared" si="16"/>
        <v>0</v>
      </c>
      <c r="I531" s="136">
        <f t="shared" si="17"/>
        <v>0</v>
      </c>
      <c r="J531" s="73"/>
    </row>
    <row r="532" spans="1:10" s="5" customFormat="1" hidden="1">
      <c r="A532" s="1069"/>
      <c r="B532" s="244"/>
      <c r="C532" s="383"/>
      <c r="D532" s="383"/>
      <c r="E532" s="433"/>
      <c r="F532" s="55"/>
      <c r="G532" s="55"/>
      <c r="H532" s="136">
        <f t="shared" si="16"/>
        <v>0</v>
      </c>
      <c r="I532" s="136">
        <f t="shared" si="17"/>
        <v>0</v>
      </c>
      <c r="J532" s="73"/>
    </row>
    <row r="533" spans="1:10" ht="131.25">
      <c r="A533" s="1068"/>
      <c r="B533" s="310" t="s">
        <v>1681</v>
      </c>
      <c r="C533" s="455">
        <v>52590</v>
      </c>
      <c r="D533" s="455"/>
      <c r="E533" s="471">
        <v>52590</v>
      </c>
      <c r="F533" s="55"/>
      <c r="G533" s="55"/>
      <c r="H533" s="459">
        <f t="shared" si="16"/>
        <v>0</v>
      </c>
      <c r="I533" s="459">
        <f t="shared" si="17"/>
        <v>105180</v>
      </c>
      <c r="J533" s="460"/>
    </row>
    <row r="534" spans="1:10" ht="37.5">
      <c r="A534" s="1068"/>
      <c r="B534" s="376" t="s">
        <v>1833</v>
      </c>
      <c r="C534" s="455">
        <v>600000</v>
      </c>
      <c r="D534" s="455"/>
      <c r="E534" s="471">
        <v>600000</v>
      </c>
      <c r="F534" s="55"/>
      <c r="G534" s="55"/>
      <c r="H534" s="459">
        <f t="shared" si="16"/>
        <v>0</v>
      </c>
      <c r="I534" s="459">
        <f t="shared" si="17"/>
        <v>1200000</v>
      </c>
      <c r="J534" s="460"/>
    </row>
    <row r="535" spans="1:10">
      <c r="A535" s="1068"/>
      <c r="B535" s="461" t="s">
        <v>253</v>
      </c>
      <c r="C535" s="470">
        <f>SUM(C497:C534)</f>
        <v>694890</v>
      </c>
      <c r="D535" s="470">
        <f>SUM(D497:D534)</f>
        <v>0</v>
      </c>
      <c r="E535" s="470">
        <f>SUM(E497:E534)</f>
        <v>694890</v>
      </c>
      <c r="F535" s="75">
        <f>SUM(F497:F508)</f>
        <v>0</v>
      </c>
      <c r="G535" s="75">
        <f>SUM(G497:G508)</f>
        <v>0</v>
      </c>
      <c r="H535" s="459">
        <f t="shared" si="16"/>
        <v>0</v>
      </c>
      <c r="I535" s="459">
        <f t="shared" si="17"/>
        <v>1389780</v>
      </c>
      <c r="J535" s="460"/>
    </row>
    <row r="536" spans="1:10" s="460" customFormat="1" ht="93.75">
      <c r="A536" s="1068" t="s">
        <v>248</v>
      </c>
      <c r="B536" s="310" t="s">
        <v>1821</v>
      </c>
      <c r="C536" s="453">
        <v>157200</v>
      </c>
      <c r="D536" s="453"/>
      <c r="E536" s="453">
        <v>157200</v>
      </c>
      <c r="F536" s="233"/>
      <c r="G536" s="233"/>
      <c r="H536" s="459">
        <f t="shared" si="16"/>
        <v>0</v>
      </c>
      <c r="I536" s="459">
        <f t="shared" si="17"/>
        <v>314400</v>
      </c>
    </row>
    <row r="537" spans="1:10" s="460" customFormat="1" ht="131.25">
      <c r="A537" s="1068"/>
      <c r="B537" s="376" t="s">
        <v>2417</v>
      </c>
      <c r="C537" s="455">
        <v>9000</v>
      </c>
      <c r="D537" s="455">
        <v>9000</v>
      </c>
      <c r="E537" s="456"/>
      <c r="F537" s="155"/>
      <c r="G537" s="155"/>
      <c r="H537" s="459">
        <f t="shared" si="16"/>
        <v>0</v>
      </c>
      <c r="I537" s="459">
        <f t="shared" si="17"/>
        <v>18000</v>
      </c>
    </row>
    <row r="538" spans="1:10" ht="131.25">
      <c r="A538" s="1068"/>
      <c r="B538" s="376" t="s">
        <v>2533</v>
      </c>
      <c r="C538" s="455">
        <v>10000</v>
      </c>
      <c r="D538" s="455"/>
      <c r="E538" s="456">
        <v>10000</v>
      </c>
      <c r="F538" s="138"/>
      <c r="G538" s="138"/>
      <c r="H538" s="459">
        <f t="shared" si="16"/>
        <v>0</v>
      </c>
      <c r="I538" s="459">
        <f t="shared" si="17"/>
        <v>20000</v>
      </c>
      <c r="J538" s="460"/>
    </row>
    <row r="539" spans="1:10" ht="131.25">
      <c r="A539" s="1068"/>
      <c r="B539" s="376" t="s">
        <v>2534</v>
      </c>
      <c r="C539" s="455">
        <v>12000</v>
      </c>
      <c r="D539" s="455"/>
      <c r="E539" s="456">
        <v>12000</v>
      </c>
      <c r="F539" s="138"/>
      <c r="G539" s="138"/>
      <c r="H539" s="459">
        <f t="shared" si="16"/>
        <v>0</v>
      </c>
      <c r="I539" s="459">
        <f t="shared" si="17"/>
        <v>24000</v>
      </c>
      <c r="J539" s="460"/>
    </row>
    <row r="540" spans="1:10" s="5" customFormat="1" hidden="1">
      <c r="A540" s="1069"/>
      <c r="B540" s="250"/>
      <c r="C540" s="383"/>
      <c r="D540" s="383"/>
      <c r="E540" s="383"/>
      <c r="F540" s="55"/>
      <c r="G540" s="55"/>
      <c r="H540" s="136">
        <f t="shared" si="16"/>
        <v>0</v>
      </c>
      <c r="I540" s="136">
        <f t="shared" si="17"/>
        <v>0</v>
      </c>
      <c r="J540" s="73"/>
    </row>
    <row r="541" spans="1:10" s="5" customFormat="1" hidden="1">
      <c r="A541" s="1069"/>
      <c r="B541" s="244"/>
      <c r="C541" s="430"/>
      <c r="D541" s="430"/>
      <c r="E541" s="430"/>
      <c r="F541" s="55"/>
      <c r="G541" s="55"/>
      <c r="H541" s="136">
        <f t="shared" si="16"/>
        <v>0</v>
      </c>
      <c r="I541" s="136">
        <f t="shared" si="17"/>
        <v>0</v>
      </c>
      <c r="J541" s="73"/>
    </row>
    <row r="542" spans="1:10" s="5" customFormat="1" hidden="1">
      <c r="A542" s="1069"/>
      <c r="B542" s="244"/>
      <c r="C542" s="430"/>
      <c r="D542" s="430"/>
      <c r="E542" s="430"/>
      <c r="F542" s="55"/>
      <c r="G542" s="55"/>
      <c r="H542" s="136">
        <f t="shared" si="16"/>
        <v>0</v>
      </c>
      <c r="I542" s="136">
        <f t="shared" si="17"/>
        <v>0</v>
      </c>
      <c r="J542" s="73"/>
    </row>
    <row r="543" spans="1:10" s="234" customFormat="1" hidden="1">
      <c r="A543" s="1069"/>
      <c r="B543" s="244"/>
      <c r="C543" s="430"/>
      <c r="D543" s="430"/>
      <c r="E543" s="430"/>
      <c r="F543" s="233"/>
      <c r="G543" s="233"/>
      <c r="H543" s="136">
        <f t="shared" si="16"/>
        <v>0</v>
      </c>
      <c r="I543" s="136">
        <f t="shared" si="17"/>
        <v>0</v>
      </c>
      <c r="J543" s="73"/>
    </row>
    <row r="544" spans="1:10" s="5" customFormat="1" hidden="1">
      <c r="A544" s="1069"/>
      <c r="B544" s="244"/>
      <c r="C544" s="430"/>
      <c r="D544" s="430"/>
      <c r="E544" s="430"/>
      <c r="F544" s="55"/>
      <c r="G544" s="55"/>
      <c r="H544" s="136">
        <f t="shared" si="16"/>
        <v>0</v>
      </c>
      <c r="I544" s="136">
        <f t="shared" si="17"/>
        <v>0</v>
      </c>
      <c r="J544" s="73"/>
    </row>
    <row r="545" spans="1:10" s="5" customFormat="1" hidden="1">
      <c r="A545" s="1069"/>
      <c r="B545" s="244"/>
      <c r="C545" s="430"/>
      <c r="D545" s="430"/>
      <c r="E545" s="430"/>
      <c r="F545" s="55"/>
      <c r="G545" s="55"/>
      <c r="H545" s="136">
        <f t="shared" si="16"/>
        <v>0</v>
      </c>
      <c r="I545" s="136">
        <f t="shared" si="17"/>
        <v>0</v>
      </c>
      <c r="J545" s="73"/>
    </row>
    <row r="546" spans="1:10" s="5" customFormat="1" hidden="1">
      <c r="A546" s="1069"/>
      <c r="B546" s="244"/>
      <c r="C546" s="430"/>
      <c r="D546" s="430"/>
      <c r="E546" s="430"/>
      <c r="F546" s="55"/>
      <c r="G546" s="55"/>
      <c r="H546" s="136">
        <f t="shared" si="16"/>
        <v>0</v>
      </c>
      <c r="I546" s="136">
        <f t="shared" si="17"/>
        <v>0</v>
      </c>
      <c r="J546" s="73"/>
    </row>
    <row r="547" spans="1:10" s="5" customFormat="1" hidden="1">
      <c r="A547" s="1069"/>
      <c r="B547" s="244"/>
      <c r="C547" s="430"/>
      <c r="D547" s="430"/>
      <c r="E547" s="430"/>
      <c r="F547" s="55"/>
      <c r="G547" s="55"/>
      <c r="H547" s="136">
        <f t="shared" si="16"/>
        <v>0</v>
      </c>
      <c r="I547" s="136">
        <f t="shared" si="17"/>
        <v>0</v>
      </c>
      <c r="J547" s="73"/>
    </row>
    <row r="548" spans="1:10" s="5" customFormat="1" hidden="1">
      <c r="A548" s="1069"/>
      <c r="B548" s="244"/>
      <c r="C548" s="430"/>
      <c r="D548" s="430"/>
      <c r="E548" s="430"/>
      <c r="F548" s="55"/>
      <c r="G548" s="55"/>
      <c r="H548" s="136">
        <f t="shared" si="16"/>
        <v>0</v>
      </c>
      <c r="I548" s="136">
        <f t="shared" si="17"/>
        <v>0</v>
      </c>
      <c r="J548" s="73"/>
    </row>
    <row r="549" spans="1:10" s="5" customFormat="1" hidden="1">
      <c r="A549" s="1069"/>
      <c r="B549" s="244"/>
      <c r="C549" s="430"/>
      <c r="D549" s="430"/>
      <c r="E549" s="430"/>
      <c r="F549" s="55"/>
      <c r="G549" s="55"/>
      <c r="H549" s="136">
        <f t="shared" si="16"/>
        <v>0</v>
      </c>
      <c r="I549" s="136">
        <f t="shared" si="17"/>
        <v>0</v>
      </c>
      <c r="J549" s="73"/>
    </row>
    <row r="550" spans="1:10" s="5" customFormat="1" hidden="1">
      <c r="A550" s="1069"/>
      <c r="B550" s="244"/>
      <c r="C550" s="430"/>
      <c r="D550" s="430"/>
      <c r="E550" s="430"/>
      <c r="F550" s="55"/>
      <c r="G550" s="55"/>
      <c r="H550" s="136">
        <f t="shared" si="16"/>
        <v>0</v>
      </c>
      <c r="I550" s="136">
        <f t="shared" si="17"/>
        <v>0</v>
      </c>
      <c r="J550" s="73"/>
    </row>
    <row r="551" spans="1:10" s="5" customFormat="1" hidden="1">
      <c r="A551" s="1069"/>
      <c r="B551" s="244"/>
      <c r="C551" s="430"/>
      <c r="D551" s="430"/>
      <c r="E551" s="430"/>
      <c r="F551" s="55"/>
      <c r="G551" s="55"/>
      <c r="H551" s="136">
        <f t="shared" si="16"/>
        <v>0</v>
      </c>
      <c r="I551" s="136">
        <f t="shared" si="17"/>
        <v>0</v>
      </c>
      <c r="J551" s="73"/>
    </row>
    <row r="552" spans="1:10" s="5" customFormat="1" hidden="1">
      <c r="A552" s="1069"/>
      <c r="B552" s="244"/>
      <c r="C552" s="430"/>
      <c r="D552" s="430"/>
      <c r="E552" s="430"/>
      <c r="F552" s="55"/>
      <c r="G552" s="55"/>
      <c r="H552" s="136">
        <f t="shared" si="16"/>
        <v>0</v>
      </c>
      <c r="I552" s="136">
        <f t="shared" si="17"/>
        <v>0</v>
      </c>
      <c r="J552" s="73"/>
    </row>
    <row r="553" spans="1:10" s="5" customFormat="1" hidden="1">
      <c r="A553" s="1069"/>
      <c r="B553" s="244"/>
      <c r="C553" s="430"/>
      <c r="D553" s="430"/>
      <c r="E553" s="430"/>
      <c r="F553" s="55"/>
      <c r="G553" s="55"/>
      <c r="H553" s="136">
        <f t="shared" si="16"/>
        <v>0</v>
      </c>
      <c r="I553" s="136">
        <f t="shared" si="17"/>
        <v>0</v>
      </c>
      <c r="J553" s="73"/>
    </row>
    <row r="554" spans="1:10" s="5" customFormat="1" hidden="1">
      <c r="A554" s="1069"/>
      <c r="B554" s="244"/>
      <c r="C554" s="383"/>
      <c r="D554" s="430"/>
      <c r="E554" s="383"/>
      <c r="F554" s="55"/>
      <c r="G554" s="55"/>
      <c r="H554" s="136">
        <f t="shared" si="16"/>
        <v>0</v>
      </c>
      <c r="I554" s="136">
        <f t="shared" si="17"/>
        <v>0</v>
      </c>
      <c r="J554" s="73"/>
    </row>
    <row r="555" spans="1:10" s="5" customFormat="1" hidden="1">
      <c r="A555" s="1069"/>
      <c r="B555" s="244"/>
      <c r="C555" s="383"/>
      <c r="D555" s="430"/>
      <c r="E555" s="383"/>
      <c r="F555" s="55"/>
      <c r="G555" s="55"/>
      <c r="H555" s="136">
        <f t="shared" si="16"/>
        <v>0</v>
      </c>
      <c r="I555" s="136">
        <f t="shared" si="17"/>
        <v>0</v>
      </c>
      <c r="J555" s="73"/>
    </row>
    <row r="556" spans="1:10" s="5" customFormat="1" hidden="1">
      <c r="A556" s="1069"/>
      <c r="B556" s="244"/>
      <c r="C556" s="383"/>
      <c r="D556" s="383"/>
      <c r="E556" s="430"/>
      <c r="F556" s="55"/>
      <c r="G556" s="55"/>
      <c r="H556" s="136">
        <f t="shared" si="16"/>
        <v>0</v>
      </c>
      <c r="I556" s="136">
        <f t="shared" si="17"/>
        <v>0</v>
      </c>
      <c r="J556" s="73"/>
    </row>
    <row r="557" spans="1:10" s="5" customFormat="1" hidden="1">
      <c r="A557" s="1069"/>
      <c r="B557" s="244"/>
      <c r="C557" s="383"/>
      <c r="D557" s="383"/>
      <c r="E557" s="430"/>
      <c r="F557" s="55"/>
      <c r="G557" s="55"/>
      <c r="H557" s="136">
        <f t="shared" si="16"/>
        <v>0</v>
      </c>
      <c r="I557" s="136">
        <f t="shared" si="17"/>
        <v>0</v>
      </c>
      <c r="J557" s="73"/>
    </row>
    <row r="558" spans="1:10" s="5" customFormat="1" hidden="1">
      <c r="A558" s="1069"/>
      <c r="B558" s="244"/>
      <c r="C558" s="383"/>
      <c r="D558" s="383"/>
      <c r="E558" s="430"/>
      <c r="F558" s="55"/>
      <c r="G558" s="55"/>
      <c r="H558" s="136">
        <f t="shared" si="16"/>
        <v>0</v>
      </c>
      <c r="I558" s="136">
        <f t="shared" si="17"/>
        <v>0</v>
      </c>
      <c r="J558" s="73"/>
    </row>
    <row r="559" spans="1:10" s="5" customFormat="1" hidden="1">
      <c r="A559" s="1069"/>
      <c r="B559" s="244"/>
      <c r="C559" s="383"/>
      <c r="D559" s="383"/>
      <c r="E559" s="430"/>
      <c r="F559" s="55"/>
      <c r="G559" s="55"/>
      <c r="H559" s="136">
        <f t="shared" si="16"/>
        <v>0</v>
      </c>
      <c r="I559" s="136">
        <f t="shared" si="17"/>
        <v>0</v>
      </c>
      <c r="J559" s="73"/>
    </row>
    <row r="560" spans="1:10" s="5" customFormat="1" hidden="1">
      <c r="A560" s="1069"/>
      <c r="B560" s="244"/>
      <c r="C560" s="383"/>
      <c r="D560" s="383"/>
      <c r="E560" s="430"/>
      <c r="F560" s="55"/>
      <c r="G560" s="55"/>
      <c r="H560" s="136">
        <f t="shared" si="16"/>
        <v>0</v>
      </c>
      <c r="I560" s="136">
        <f t="shared" si="17"/>
        <v>0</v>
      </c>
      <c r="J560" s="73"/>
    </row>
    <row r="561" spans="1:10" s="5" customFormat="1" hidden="1">
      <c r="A561" s="1069"/>
      <c r="B561" s="244"/>
      <c r="C561" s="383"/>
      <c r="D561" s="383"/>
      <c r="E561" s="430"/>
      <c r="F561" s="55"/>
      <c r="G561" s="55"/>
      <c r="H561" s="136">
        <f t="shared" si="16"/>
        <v>0</v>
      </c>
      <c r="I561" s="136">
        <f t="shared" si="17"/>
        <v>0</v>
      </c>
      <c r="J561" s="73"/>
    </row>
    <row r="562" spans="1:10" s="5" customFormat="1" hidden="1">
      <c r="A562" s="1069"/>
      <c r="B562" s="244"/>
      <c r="C562" s="383"/>
      <c r="D562" s="383"/>
      <c r="E562" s="430"/>
      <c r="F562" s="55"/>
      <c r="G562" s="55"/>
      <c r="H562" s="136">
        <f t="shared" si="16"/>
        <v>0</v>
      </c>
      <c r="I562" s="136">
        <f t="shared" si="17"/>
        <v>0</v>
      </c>
      <c r="J562" s="73"/>
    </row>
    <row r="563" spans="1:10" s="5" customFormat="1" hidden="1">
      <c r="A563" s="1069"/>
      <c r="B563" s="244"/>
      <c r="C563" s="383"/>
      <c r="D563" s="383"/>
      <c r="E563" s="383"/>
      <c r="F563" s="55"/>
      <c r="G563" s="55"/>
      <c r="H563" s="136">
        <f t="shared" si="16"/>
        <v>0</v>
      </c>
      <c r="I563" s="136">
        <f t="shared" si="17"/>
        <v>0</v>
      </c>
      <c r="J563" s="73"/>
    </row>
    <row r="564" spans="1:10" s="5" customFormat="1" hidden="1">
      <c r="A564" s="1069"/>
      <c r="B564" s="244"/>
      <c r="C564" s="383"/>
      <c r="D564" s="383"/>
      <c r="E564" s="383"/>
      <c r="F564" s="55"/>
      <c r="G564" s="55"/>
      <c r="H564" s="136">
        <f t="shared" si="16"/>
        <v>0</v>
      </c>
      <c r="I564" s="136">
        <f t="shared" si="17"/>
        <v>0</v>
      </c>
      <c r="J564" s="73"/>
    </row>
    <row r="565" spans="1:10" s="5" customFormat="1" hidden="1">
      <c r="A565" s="1069"/>
      <c r="B565" s="244"/>
      <c r="C565" s="383"/>
      <c r="D565" s="383"/>
      <c r="E565" s="383"/>
      <c r="F565" s="55"/>
      <c r="G565" s="55"/>
      <c r="H565" s="136">
        <f t="shared" si="16"/>
        <v>0</v>
      </c>
      <c r="I565" s="136">
        <f t="shared" si="17"/>
        <v>0</v>
      </c>
      <c r="J565" s="73"/>
    </row>
    <row r="566" spans="1:10" s="5" customFormat="1" hidden="1">
      <c r="A566" s="1069"/>
      <c r="B566" s="244"/>
      <c r="C566" s="430"/>
      <c r="D566" s="430"/>
      <c r="E566" s="430"/>
      <c r="F566" s="55"/>
      <c r="G566" s="55"/>
      <c r="H566" s="136">
        <f t="shared" si="16"/>
        <v>0</v>
      </c>
      <c r="I566" s="136">
        <f t="shared" si="17"/>
        <v>0</v>
      </c>
      <c r="J566" s="73"/>
    </row>
    <row r="567" spans="1:10" s="5" customFormat="1" hidden="1">
      <c r="A567" s="1069"/>
      <c r="B567" s="244"/>
      <c r="C567" s="430"/>
      <c r="D567" s="430"/>
      <c r="E567" s="430"/>
      <c r="F567" s="55"/>
      <c r="G567" s="55"/>
      <c r="H567" s="136">
        <f t="shared" si="16"/>
        <v>0</v>
      </c>
      <c r="I567" s="136">
        <f t="shared" si="17"/>
        <v>0</v>
      </c>
      <c r="J567" s="73"/>
    </row>
    <row r="568" spans="1:10" s="5" customFormat="1" hidden="1">
      <c r="A568" s="1069"/>
      <c r="B568" s="244"/>
      <c r="C568" s="430"/>
      <c r="D568" s="430"/>
      <c r="E568" s="430"/>
      <c r="F568" s="55"/>
      <c r="G568" s="55"/>
      <c r="H568" s="136">
        <f t="shared" si="16"/>
        <v>0</v>
      </c>
      <c r="I568" s="136">
        <f t="shared" si="17"/>
        <v>0</v>
      </c>
      <c r="J568" s="73"/>
    </row>
    <row r="569" spans="1:10" s="5" customFormat="1" hidden="1">
      <c r="A569" s="1069"/>
      <c r="B569" s="244"/>
      <c r="C569" s="430"/>
      <c r="D569" s="430"/>
      <c r="E569" s="430"/>
      <c r="F569" s="55"/>
      <c r="G569" s="55"/>
      <c r="H569" s="136">
        <f t="shared" si="16"/>
        <v>0</v>
      </c>
      <c r="I569" s="136">
        <f t="shared" si="17"/>
        <v>0</v>
      </c>
      <c r="J569" s="73"/>
    </row>
    <row r="570" spans="1:10" s="5" customFormat="1" hidden="1">
      <c r="A570" s="1069"/>
      <c r="B570" s="244"/>
      <c r="C570" s="383"/>
      <c r="D570" s="383"/>
      <c r="E570" s="430"/>
      <c r="F570" s="55"/>
      <c r="G570" s="55"/>
      <c r="H570" s="136">
        <f t="shared" si="16"/>
        <v>0</v>
      </c>
      <c r="I570" s="136">
        <f t="shared" si="17"/>
        <v>0</v>
      </c>
      <c r="J570" s="73"/>
    </row>
    <row r="571" spans="1:10" s="5" customFormat="1" hidden="1">
      <c r="A571" s="1069"/>
      <c r="B571" s="244"/>
      <c r="C571" s="383"/>
      <c r="D571" s="383"/>
      <c r="E571" s="430"/>
      <c r="F571" s="55"/>
      <c r="G571" s="55"/>
      <c r="H571" s="136">
        <f t="shared" si="16"/>
        <v>0</v>
      </c>
      <c r="I571" s="136">
        <f t="shared" si="17"/>
        <v>0</v>
      </c>
      <c r="J571" s="73"/>
    </row>
    <row r="572" spans="1:10" s="5" customFormat="1" hidden="1">
      <c r="A572" s="1069"/>
      <c r="B572" s="244"/>
      <c r="C572" s="383"/>
      <c r="D572" s="383"/>
      <c r="E572" s="430"/>
      <c r="F572" s="55"/>
      <c r="G572" s="55"/>
      <c r="H572" s="136">
        <f t="shared" si="16"/>
        <v>0</v>
      </c>
      <c r="I572" s="136">
        <f t="shared" si="17"/>
        <v>0</v>
      </c>
      <c r="J572" s="73"/>
    </row>
    <row r="573" spans="1:10" s="5" customFormat="1" hidden="1">
      <c r="A573" s="1069"/>
      <c r="B573" s="244"/>
      <c r="C573" s="383"/>
      <c r="D573" s="383"/>
      <c r="E573" s="430"/>
      <c r="F573" s="55"/>
      <c r="G573" s="55"/>
      <c r="H573" s="136">
        <f t="shared" si="16"/>
        <v>0</v>
      </c>
      <c r="I573" s="136">
        <f t="shared" si="17"/>
        <v>0</v>
      </c>
      <c r="J573" s="73"/>
    </row>
    <row r="574" spans="1:10" s="5" customFormat="1" hidden="1">
      <c r="A574" s="1069"/>
      <c r="B574" s="244"/>
      <c r="C574" s="383"/>
      <c r="D574" s="383"/>
      <c r="E574" s="430"/>
      <c r="F574" s="55"/>
      <c r="G574" s="55"/>
      <c r="H574" s="136">
        <f t="shared" si="16"/>
        <v>0</v>
      </c>
      <c r="I574" s="136">
        <f t="shared" si="17"/>
        <v>0</v>
      </c>
      <c r="J574" s="73"/>
    </row>
    <row r="575" spans="1:10" s="5" customFormat="1" hidden="1">
      <c r="A575" s="1069"/>
      <c r="B575" s="244"/>
      <c r="C575" s="383"/>
      <c r="D575" s="383"/>
      <c r="E575" s="430"/>
      <c r="F575" s="55"/>
      <c r="G575" s="55"/>
      <c r="H575" s="136">
        <f t="shared" si="16"/>
        <v>0</v>
      </c>
      <c r="I575" s="136">
        <f t="shared" si="17"/>
        <v>0</v>
      </c>
      <c r="J575" s="73"/>
    </row>
    <row r="576" spans="1:10" s="5" customFormat="1" hidden="1">
      <c r="A576" s="1069"/>
      <c r="B576" s="244"/>
      <c r="C576" s="383"/>
      <c r="D576" s="383"/>
      <c r="E576" s="430"/>
      <c r="F576" s="55"/>
      <c r="G576" s="55"/>
      <c r="H576" s="136">
        <f t="shared" si="16"/>
        <v>0</v>
      </c>
      <c r="I576" s="136">
        <f t="shared" si="17"/>
        <v>0</v>
      </c>
      <c r="J576" s="73"/>
    </row>
    <row r="577" spans="1:10" s="5" customFormat="1" hidden="1">
      <c r="A577" s="1069"/>
      <c r="B577" s="244"/>
      <c r="C577" s="383"/>
      <c r="D577" s="383"/>
      <c r="E577" s="430"/>
      <c r="F577" s="55"/>
      <c r="G577" s="55"/>
      <c r="H577" s="136">
        <f t="shared" si="16"/>
        <v>0</v>
      </c>
      <c r="I577" s="136">
        <f t="shared" si="17"/>
        <v>0</v>
      </c>
      <c r="J577" s="73"/>
    </row>
    <row r="578" spans="1:10" s="5" customFormat="1" hidden="1">
      <c r="A578" s="1069"/>
      <c r="B578" s="244"/>
      <c r="C578" s="383"/>
      <c r="D578" s="383"/>
      <c r="E578" s="430"/>
      <c r="F578" s="55"/>
      <c r="G578" s="55"/>
      <c r="H578" s="136">
        <f t="shared" si="16"/>
        <v>0</v>
      </c>
      <c r="I578" s="136">
        <f t="shared" si="17"/>
        <v>0</v>
      </c>
      <c r="J578" s="73"/>
    </row>
    <row r="579" spans="1:10" s="5" customFormat="1" hidden="1">
      <c r="A579" s="1069"/>
      <c r="B579" s="244"/>
      <c r="C579" s="383"/>
      <c r="D579" s="383"/>
      <c r="E579" s="430"/>
      <c r="F579" s="55"/>
      <c r="G579" s="55"/>
      <c r="H579" s="136">
        <f t="shared" si="16"/>
        <v>0</v>
      </c>
      <c r="I579" s="136">
        <f t="shared" si="17"/>
        <v>0</v>
      </c>
      <c r="J579" s="73"/>
    </row>
    <row r="580" spans="1:10" s="5" customFormat="1" hidden="1">
      <c r="A580" s="1069"/>
      <c r="B580" s="244"/>
      <c r="C580" s="383"/>
      <c r="D580" s="383"/>
      <c r="E580" s="430"/>
      <c r="F580" s="55"/>
      <c r="G580" s="55"/>
      <c r="H580" s="136">
        <f t="shared" si="16"/>
        <v>0</v>
      </c>
      <c r="I580" s="136">
        <f t="shared" si="17"/>
        <v>0</v>
      </c>
      <c r="J580" s="73"/>
    </row>
    <row r="581" spans="1:10" s="5" customFormat="1" hidden="1">
      <c r="A581" s="1069"/>
      <c r="B581" s="244"/>
      <c r="C581" s="383"/>
      <c r="D581" s="383"/>
      <c r="E581" s="430"/>
      <c r="F581" s="55"/>
      <c r="G581" s="55"/>
      <c r="H581" s="136">
        <f t="shared" si="16"/>
        <v>0</v>
      </c>
      <c r="I581" s="136">
        <f t="shared" si="17"/>
        <v>0</v>
      </c>
      <c r="J581" s="73"/>
    </row>
    <row r="582" spans="1:10" s="5" customFormat="1" hidden="1">
      <c r="A582" s="1069"/>
      <c r="B582" s="244"/>
      <c r="C582" s="383"/>
      <c r="D582" s="383"/>
      <c r="E582" s="430"/>
      <c r="F582" s="55"/>
      <c r="G582" s="55"/>
      <c r="H582" s="136">
        <f t="shared" si="16"/>
        <v>0</v>
      </c>
      <c r="I582" s="136">
        <f t="shared" si="17"/>
        <v>0</v>
      </c>
      <c r="J582" s="73"/>
    </row>
    <row r="583" spans="1:10" s="5" customFormat="1" hidden="1">
      <c r="A583" s="1069"/>
      <c r="B583" s="244"/>
      <c r="C583" s="383"/>
      <c r="D583" s="383"/>
      <c r="E583" s="430"/>
      <c r="F583" s="55"/>
      <c r="G583" s="55"/>
      <c r="H583" s="136">
        <f t="shared" si="16"/>
        <v>0</v>
      </c>
      <c r="I583" s="136">
        <f t="shared" si="17"/>
        <v>0</v>
      </c>
      <c r="J583" s="73"/>
    </row>
    <row r="584" spans="1:10" s="5" customFormat="1" hidden="1">
      <c r="A584" s="1069"/>
      <c r="B584" s="244"/>
      <c r="C584" s="383"/>
      <c r="D584" s="383"/>
      <c r="E584" s="430"/>
      <c r="F584" s="55"/>
      <c r="G584" s="55"/>
      <c r="H584" s="136">
        <f t="shared" si="16"/>
        <v>0</v>
      </c>
      <c r="I584" s="136">
        <f t="shared" si="17"/>
        <v>0</v>
      </c>
      <c r="J584" s="73"/>
    </row>
    <row r="585" spans="1:10" s="5" customFormat="1" hidden="1">
      <c r="A585" s="1069"/>
      <c r="B585" s="246"/>
      <c r="C585" s="431"/>
      <c r="D585" s="431"/>
      <c r="E585" s="432"/>
      <c r="F585" s="55"/>
      <c r="G585" s="55"/>
      <c r="H585" s="136">
        <f t="shared" ref="H585:H648" si="18">E585+D585-C585</f>
        <v>0</v>
      </c>
      <c r="I585" s="136">
        <f t="shared" ref="I585:I648" si="19">SUM(C585:E585)</f>
        <v>0</v>
      </c>
      <c r="J585" s="73"/>
    </row>
    <row r="586" spans="1:10" s="5" customFormat="1" hidden="1">
      <c r="A586" s="1069"/>
      <c r="B586" s="246"/>
      <c r="C586" s="434"/>
      <c r="D586" s="434"/>
      <c r="E586" s="435"/>
      <c r="F586" s="55"/>
      <c r="G586" s="55"/>
      <c r="H586" s="136">
        <f t="shared" si="18"/>
        <v>0</v>
      </c>
      <c r="I586" s="136">
        <f t="shared" si="19"/>
        <v>0</v>
      </c>
      <c r="J586" s="73"/>
    </row>
    <row r="587" spans="1:10" s="5" customFormat="1" hidden="1">
      <c r="A587" s="1069"/>
      <c r="B587" s="246"/>
      <c r="C587" s="434"/>
      <c r="D587" s="434"/>
      <c r="E587" s="435"/>
      <c r="F587" s="55"/>
      <c r="G587" s="55"/>
      <c r="H587" s="136">
        <f t="shared" si="18"/>
        <v>0</v>
      </c>
      <c r="I587" s="136">
        <f t="shared" si="19"/>
        <v>0</v>
      </c>
      <c r="J587" s="73"/>
    </row>
    <row r="588" spans="1:10" s="5" customFormat="1" hidden="1">
      <c r="A588" s="1069"/>
      <c r="B588" s="244"/>
      <c r="C588" s="434"/>
      <c r="D588" s="434"/>
      <c r="E588" s="436"/>
      <c r="F588" s="55"/>
      <c r="G588" s="55"/>
      <c r="H588" s="136">
        <f t="shared" si="18"/>
        <v>0</v>
      </c>
      <c r="I588" s="136">
        <f t="shared" si="19"/>
        <v>0</v>
      </c>
      <c r="J588" s="73"/>
    </row>
    <row r="589" spans="1:10" s="5" customFormat="1" hidden="1">
      <c r="A589" s="1069"/>
      <c r="B589" s="244"/>
      <c r="C589" s="434"/>
      <c r="D589" s="434"/>
      <c r="E589" s="436"/>
      <c r="F589" s="55"/>
      <c r="G589" s="55"/>
      <c r="H589" s="136">
        <f t="shared" si="18"/>
        <v>0</v>
      </c>
      <c r="I589" s="136">
        <f t="shared" si="19"/>
        <v>0</v>
      </c>
      <c r="J589" s="73"/>
    </row>
    <row r="590" spans="1:10" s="5" customFormat="1" hidden="1">
      <c r="A590" s="1069"/>
      <c r="B590" s="244"/>
      <c r="C590" s="434"/>
      <c r="D590" s="434"/>
      <c r="E590" s="436"/>
      <c r="F590" s="55"/>
      <c r="G590" s="55"/>
      <c r="H590" s="136">
        <f t="shared" si="18"/>
        <v>0</v>
      </c>
      <c r="I590" s="136">
        <f t="shared" si="19"/>
        <v>0</v>
      </c>
      <c r="J590" s="73"/>
    </row>
    <row r="591" spans="1:10" s="5" customFormat="1" hidden="1">
      <c r="A591" s="1069"/>
      <c r="B591" s="244"/>
      <c r="C591" s="434"/>
      <c r="D591" s="434"/>
      <c r="E591" s="436"/>
      <c r="F591" s="55"/>
      <c r="G591" s="55"/>
      <c r="H591" s="136">
        <f t="shared" si="18"/>
        <v>0</v>
      </c>
      <c r="I591" s="136">
        <f t="shared" si="19"/>
        <v>0</v>
      </c>
      <c r="J591" s="73"/>
    </row>
    <row r="592" spans="1:10" s="5" customFormat="1" hidden="1">
      <c r="A592" s="1069"/>
      <c r="B592" s="244"/>
      <c r="C592" s="434"/>
      <c r="D592" s="434"/>
      <c r="E592" s="436"/>
      <c r="F592" s="55"/>
      <c r="G592" s="55"/>
      <c r="H592" s="136">
        <f t="shared" si="18"/>
        <v>0</v>
      </c>
      <c r="I592" s="136">
        <f t="shared" si="19"/>
        <v>0</v>
      </c>
      <c r="J592" s="73"/>
    </row>
    <row r="593" spans="1:10" s="5" customFormat="1" hidden="1">
      <c r="A593" s="1069"/>
      <c r="B593" s="244"/>
      <c r="C593" s="434"/>
      <c r="D593" s="434"/>
      <c r="E593" s="436"/>
      <c r="F593" s="55"/>
      <c r="G593" s="55"/>
      <c r="H593" s="136">
        <f t="shared" si="18"/>
        <v>0</v>
      </c>
      <c r="I593" s="136">
        <f t="shared" si="19"/>
        <v>0</v>
      </c>
      <c r="J593" s="73"/>
    </row>
    <row r="594" spans="1:10" s="5" customFormat="1" hidden="1">
      <c r="A594" s="1069"/>
      <c r="B594" s="244"/>
      <c r="C594" s="434"/>
      <c r="D594" s="434"/>
      <c r="E594" s="436"/>
      <c r="F594" s="55"/>
      <c r="G594" s="55"/>
      <c r="H594" s="136">
        <f t="shared" si="18"/>
        <v>0</v>
      </c>
      <c r="I594" s="136">
        <f t="shared" si="19"/>
        <v>0</v>
      </c>
      <c r="J594" s="73"/>
    </row>
    <row r="595" spans="1:10" s="5" customFormat="1" hidden="1">
      <c r="A595" s="1069"/>
      <c r="B595" s="244"/>
      <c r="C595" s="434"/>
      <c r="D595" s="434"/>
      <c r="E595" s="436"/>
      <c r="F595" s="55"/>
      <c r="G595" s="55"/>
      <c r="H595" s="136">
        <f t="shared" si="18"/>
        <v>0</v>
      </c>
      <c r="I595" s="136">
        <f t="shared" si="19"/>
        <v>0</v>
      </c>
      <c r="J595" s="73"/>
    </row>
    <row r="596" spans="1:10" s="5" customFormat="1" hidden="1">
      <c r="A596" s="1069"/>
      <c r="B596" s="244"/>
      <c r="C596" s="434"/>
      <c r="D596" s="434"/>
      <c r="E596" s="436"/>
      <c r="F596" s="55"/>
      <c r="G596" s="55"/>
      <c r="H596" s="136">
        <f t="shared" si="18"/>
        <v>0</v>
      </c>
      <c r="I596" s="136">
        <f t="shared" si="19"/>
        <v>0</v>
      </c>
      <c r="J596" s="73"/>
    </row>
    <row r="597" spans="1:10" s="5" customFormat="1" hidden="1">
      <c r="A597" s="1069"/>
      <c r="B597" s="246"/>
      <c r="C597" s="434"/>
      <c r="D597" s="434"/>
      <c r="E597" s="435"/>
      <c r="F597" s="55"/>
      <c r="G597" s="55"/>
      <c r="H597" s="136">
        <f t="shared" si="18"/>
        <v>0</v>
      </c>
      <c r="I597" s="136">
        <f t="shared" si="19"/>
        <v>0</v>
      </c>
      <c r="J597" s="73"/>
    </row>
    <row r="598" spans="1:10" s="5" customFormat="1" hidden="1">
      <c r="A598" s="1069"/>
      <c r="B598" s="246"/>
      <c r="C598" s="434"/>
      <c r="D598" s="434"/>
      <c r="E598" s="435"/>
      <c r="F598" s="55"/>
      <c r="G598" s="55"/>
      <c r="H598" s="136">
        <f t="shared" si="18"/>
        <v>0</v>
      </c>
      <c r="I598" s="136">
        <f t="shared" si="19"/>
        <v>0</v>
      </c>
      <c r="J598" s="73"/>
    </row>
    <row r="599" spans="1:10" s="5" customFormat="1" hidden="1">
      <c r="A599" s="1069"/>
      <c r="B599" s="246"/>
      <c r="C599" s="434"/>
      <c r="D599" s="434"/>
      <c r="E599" s="435"/>
      <c r="F599" s="55"/>
      <c r="G599" s="55"/>
      <c r="H599" s="136">
        <f t="shared" si="18"/>
        <v>0</v>
      </c>
      <c r="I599" s="136">
        <f t="shared" si="19"/>
        <v>0</v>
      </c>
      <c r="J599" s="73"/>
    </row>
    <row r="600" spans="1:10" s="5" customFormat="1" hidden="1">
      <c r="A600" s="1069"/>
      <c r="B600" s="246"/>
      <c r="C600" s="434"/>
      <c r="D600" s="434"/>
      <c r="E600" s="435"/>
      <c r="F600" s="55"/>
      <c r="G600" s="55"/>
      <c r="H600" s="136">
        <f t="shared" si="18"/>
        <v>0</v>
      </c>
      <c r="I600" s="136">
        <f t="shared" si="19"/>
        <v>0</v>
      </c>
      <c r="J600" s="73"/>
    </row>
    <row r="601" spans="1:10" s="5" customFormat="1" hidden="1">
      <c r="A601" s="1069"/>
      <c r="B601" s="244"/>
      <c r="C601" s="383"/>
      <c r="D601" s="383"/>
      <c r="E601" s="433"/>
      <c r="F601" s="55"/>
      <c r="G601" s="55"/>
      <c r="H601" s="136">
        <f t="shared" si="18"/>
        <v>0</v>
      </c>
      <c r="I601" s="136">
        <f t="shared" si="19"/>
        <v>0</v>
      </c>
      <c r="J601" s="73"/>
    </row>
    <row r="602" spans="1:10" s="5" customFormat="1" hidden="1">
      <c r="A602" s="1069"/>
      <c r="B602" s="244"/>
      <c r="C602" s="383"/>
      <c r="D602" s="383"/>
      <c r="E602" s="433"/>
      <c r="F602" s="55"/>
      <c r="G602" s="55"/>
      <c r="H602" s="136">
        <f t="shared" si="18"/>
        <v>0</v>
      </c>
      <c r="I602" s="136">
        <f t="shared" si="19"/>
        <v>0</v>
      </c>
      <c r="J602" s="73"/>
    </row>
    <row r="603" spans="1:10" s="5" customFormat="1" hidden="1">
      <c r="A603" s="1069"/>
      <c r="B603" s="244"/>
      <c r="C603" s="383"/>
      <c r="D603" s="383"/>
      <c r="E603" s="433"/>
      <c r="F603" s="55"/>
      <c r="G603" s="55"/>
      <c r="H603" s="136">
        <f t="shared" si="18"/>
        <v>0</v>
      </c>
      <c r="I603" s="136">
        <f t="shared" si="19"/>
        <v>0</v>
      </c>
      <c r="J603" s="73"/>
    </row>
    <row r="604" spans="1:10" ht="127.5" customHeight="1">
      <c r="A604" s="1068"/>
      <c r="B604" s="310" t="s">
        <v>1681</v>
      </c>
      <c r="C604" s="455">
        <v>210360</v>
      </c>
      <c r="D604" s="455"/>
      <c r="E604" s="471">
        <v>210360</v>
      </c>
      <c r="F604" s="55"/>
      <c r="G604" s="55"/>
      <c r="H604" s="459">
        <f t="shared" si="18"/>
        <v>0</v>
      </c>
      <c r="I604" s="459">
        <f t="shared" si="19"/>
        <v>420720</v>
      </c>
      <c r="J604" s="460"/>
    </row>
    <row r="605" spans="1:10">
      <c r="A605" s="1068"/>
      <c r="B605" s="461" t="s">
        <v>253</v>
      </c>
      <c r="C605" s="470">
        <f>SUM(C536:C604)</f>
        <v>398560</v>
      </c>
      <c r="D605" s="470">
        <f>SUM(D536:D604)</f>
        <v>9000</v>
      </c>
      <c r="E605" s="470">
        <f>SUM(E536:E604)</f>
        <v>389560</v>
      </c>
      <c r="F605" s="75">
        <f>SUM(F536:F560)</f>
        <v>0</v>
      </c>
      <c r="G605" s="75">
        <f>SUM(G536:G560)</f>
        <v>0</v>
      </c>
      <c r="H605" s="459">
        <f t="shared" si="18"/>
        <v>0</v>
      </c>
      <c r="I605" s="459">
        <f t="shared" si="19"/>
        <v>797120</v>
      </c>
      <c r="J605" s="460"/>
    </row>
    <row r="606" spans="1:10" s="5" customFormat="1" hidden="1">
      <c r="A606" s="1069" t="s">
        <v>320</v>
      </c>
      <c r="B606" s="244"/>
      <c r="C606" s="383"/>
      <c r="D606" s="383"/>
      <c r="E606" s="383"/>
      <c r="F606" s="138"/>
      <c r="G606" s="138"/>
      <c r="H606" s="136">
        <f t="shared" si="18"/>
        <v>0</v>
      </c>
      <c r="I606" s="136">
        <f t="shared" si="19"/>
        <v>0</v>
      </c>
      <c r="J606" s="73"/>
    </row>
    <row r="607" spans="1:10" s="5" customFormat="1" hidden="1">
      <c r="A607" s="1069"/>
      <c r="B607" s="244"/>
      <c r="C607" s="383"/>
      <c r="D607" s="383"/>
      <c r="E607" s="430"/>
      <c r="F607" s="138"/>
      <c r="G607" s="138"/>
      <c r="H607" s="136">
        <f t="shared" si="18"/>
        <v>0</v>
      </c>
      <c r="I607" s="136">
        <f t="shared" si="19"/>
        <v>0</v>
      </c>
      <c r="J607" s="73"/>
    </row>
    <row r="608" spans="1:10" s="5" customFormat="1" hidden="1">
      <c r="A608" s="1069"/>
      <c r="B608" s="244"/>
      <c r="C608" s="383"/>
      <c r="D608" s="383"/>
      <c r="E608" s="430"/>
      <c r="F608" s="55"/>
      <c r="G608" s="55"/>
      <c r="H608" s="136">
        <f t="shared" si="18"/>
        <v>0</v>
      </c>
      <c r="I608" s="136">
        <f t="shared" si="19"/>
        <v>0</v>
      </c>
      <c r="J608" s="73"/>
    </row>
    <row r="609" spans="1:10" s="5" customFormat="1" hidden="1">
      <c r="A609" s="1069"/>
      <c r="B609" s="244"/>
      <c r="C609" s="430"/>
      <c r="D609" s="430"/>
      <c r="E609" s="430"/>
      <c r="F609" s="55"/>
      <c r="G609" s="55"/>
      <c r="H609" s="136">
        <f t="shared" si="18"/>
        <v>0</v>
      </c>
      <c r="I609" s="136">
        <f t="shared" si="19"/>
        <v>0</v>
      </c>
      <c r="J609" s="73"/>
    </row>
    <row r="610" spans="1:10" s="5" customFormat="1" hidden="1">
      <c r="A610" s="1069"/>
      <c r="B610" s="244"/>
      <c r="C610" s="383"/>
      <c r="D610" s="383"/>
      <c r="E610" s="430"/>
      <c r="F610" s="55"/>
      <c r="G610" s="55"/>
      <c r="H610" s="136">
        <f t="shared" si="18"/>
        <v>0</v>
      </c>
      <c r="I610" s="136">
        <f t="shared" si="19"/>
        <v>0</v>
      </c>
      <c r="J610" s="73"/>
    </row>
    <row r="611" spans="1:10" s="5" customFormat="1" hidden="1">
      <c r="A611" s="1069"/>
      <c r="B611" s="244"/>
      <c r="C611" s="383"/>
      <c r="D611" s="383"/>
      <c r="E611" s="430"/>
      <c r="F611" s="55"/>
      <c r="G611" s="55"/>
      <c r="H611" s="136">
        <f t="shared" si="18"/>
        <v>0</v>
      </c>
      <c r="I611" s="136">
        <f t="shared" si="19"/>
        <v>0</v>
      </c>
      <c r="J611" s="73"/>
    </row>
    <row r="612" spans="1:10" s="5" customFormat="1" hidden="1">
      <c r="A612" s="1069"/>
      <c r="B612" s="244"/>
      <c r="C612" s="383"/>
      <c r="D612" s="383"/>
      <c r="E612" s="430"/>
      <c r="F612" s="55"/>
      <c r="G612" s="55"/>
      <c r="H612" s="136">
        <f t="shared" si="18"/>
        <v>0</v>
      </c>
      <c r="I612" s="136">
        <f t="shared" si="19"/>
        <v>0</v>
      </c>
      <c r="J612" s="73"/>
    </row>
    <row r="613" spans="1:10" s="5" customFormat="1" hidden="1">
      <c r="A613" s="1069"/>
      <c r="B613" s="244"/>
      <c r="C613" s="383"/>
      <c r="D613" s="383"/>
      <c r="E613" s="430"/>
      <c r="F613" s="55"/>
      <c r="G613" s="55"/>
      <c r="H613" s="136">
        <f t="shared" si="18"/>
        <v>0</v>
      </c>
      <c r="I613" s="136">
        <f t="shared" si="19"/>
        <v>0</v>
      </c>
      <c r="J613" s="73"/>
    </row>
    <row r="614" spans="1:10" s="5" customFormat="1" hidden="1">
      <c r="A614" s="1069"/>
      <c r="B614" s="244"/>
      <c r="C614" s="383"/>
      <c r="D614" s="383"/>
      <c r="E614" s="430"/>
      <c r="F614" s="55"/>
      <c r="G614" s="55"/>
      <c r="H614" s="136">
        <f t="shared" si="18"/>
        <v>0</v>
      </c>
      <c r="I614" s="136">
        <f t="shared" si="19"/>
        <v>0</v>
      </c>
      <c r="J614" s="73"/>
    </row>
    <row r="615" spans="1:10" s="5" customFormat="1" hidden="1">
      <c r="A615" s="1069"/>
      <c r="B615" s="244"/>
      <c r="C615" s="430"/>
      <c r="D615" s="430"/>
      <c r="E615" s="430"/>
      <c r="F615" s="55"/>
      <c r="G615" s="55"/>
      <c r="H615" s="136">
        <f t="shared" si="18"/>
        <v>0</v>
      </c>
      <c r="I615" s="136">
        <f t="shared" si="19"/>
        <v>0</v>
      </c>
      <c r="J615" s="73"/>
    </row>
    <row r="616" spans="1:10" s="5" customFormat="1" hidden="1">
      <c r="A616" s="1069"/>
      <c r="B616" s="244"/>
      <c r="C616" s="430"/>
      <c r="D616" s="430"/>
      <c r="E616" s="430"/>
      <c r="F616" s="55"/>
      <c r="G616" s="55"/>
      <c r="H616" s="136">
        <f t="shared" si="18"/>
        <v>0</v>
      </c>
      <c r="I616" s="136">
        <f t="shared" si="19"/>
        <v>0</v>
      </c>
      <c r="J616" s="73"/>
    </row>
    <row r="617" spans="1:10" s="5" customFormat="1" hidden="1">
      <c r="A617" s="1069"/>
      <c r="B617" s="244"/>
      <c r="C617" s="430"/>
      <c r="D617" s="430"/>
      <c r="E617" s="430"/>
      <c r="F617" s="55"/>
      <c r="G617" s="55"/>
      <c r="H617" s="136">
        <f t="shared" si="18"/>
        <v>0</v>
      </c>
      <c r="I617" s="136">
        <f t="shared" si="19"/>
        <v>0</v>
      </c>
      <c r="J617" s="73"/>
    </row>
    <row r="618" spans="1:10" s="5" customFormat="1" hidden="1">
      <c r="A618" s="1069"/>
      <c r="B618" s="244"/>
      <c r="C618" s="383"/>
      <c r="D618" s="383"/>
      <c r="E618" s="430"/>
      <c r="F618" s="55"/>
      <c r="G618" s="55"/>
      <c r="H618" s="136">
        <f t="shared" si="18"/>
        <v>0</v>
      </c>
      <c r="I618" s="136">
        <f t="shared" si="19"/>
        <v>0</v>
      </c>
      <c r="J618" s="73"/>
    </row>
    <row r="619" spans="1:10" s="5" customFormat="1" hidden="1">
      <c r="A619" s="1069"/>
      <c r="B619" s="244"/>
      <c r="C619" s="383"/>
      <c r="D619" s="383"/>
      <c r="E619" s="430"/>
      <c r="F619" s="55"/>
      <c r="G619" s="55"/>
      <c r="H619" s="136">
        <f t="shared" si="18"/>
        <v>0</v>
      </c>
      <c r="I619" s="136">
        <f t="shared" si="19"/>
        <v>0</v>
      </c>
      <c r="J619" s="73"/>
    </row>
    <row r="620" spans="1:10" s="5" customFormat="1" hidden="1">
      <c r="A620" s="1069"/>
      <c r="B620" s="244"/>
      <c r="C620" s="383"/>
      <c r="D620" s="383"/>
      <c r="E620" s="433"/>
      <c r="F620" s="55"/>
      <c r="G620" s="55"/>
      <c r="H620" s="136">
        <f t="shared" si="18"/>
        <v>0</v>
      </c>
      <c r="I620" s="136">
        <f t="shared" si="19"/>
        <v>0</v>
      </c>
      <c r="J620" s="73"/>
    </row>
    <row r="621" spans="1:10" s="5" customFormat="1" hidden="1">
      <c r="A621" s="1069"/>
      <c r="B621" s="244"/>
      <c r="C621" s="383"/>
      <c r="D621" s="383"/>
      <c r="E621" s="433"/>
      <c r="F621" s="55"/>
      <c r="G621" s="55"/>
      <c r="H621" s="136">
        <f t="shared" si="18"/>
        <v>0</v>
      </c>
      <c r="I621" s="136">
        <f t="shared" si="19"/>
        <v>0</v>
      </c>
      <c r="J621" s="73"/>
    </row>
    <row r="622" spans="1:10" s="5" customFormat="1" hidden="1">
      <c r="A622" s="1069"/>
      <c r="B622" s="244"/>
      <c r="C622" s="383"/>
      <c r="D622" s="383"/>
      <c r="E622" s="433"/>
      <c r="F622" s="55"/>
      <c r="G622" s="55"/>
      <c r="H622" s="136">
        <f t="shared" si="18"/>
        <v>0</v>
      </c>
      <c r="I622" s="136">
        <f t="shared" si="19"/>
        <v>0</v>
      </c>
      <c r="J622" s="73"/>
    </row>
    <row r="623" spans="1:10" s="5" customFormat="1" hidden="1">
      <c r="A623" s="1069"/>
      <c r="B623" s="244"/>
      <c r="C623" s="383"/>
      <c r="D623" s="383"/>
      <c r="E623" s="433"/>
      <c r="F623" s="55"/>
      <c r="G623" s="55"/>
      <c r="H623" s="136">
        <f t="shared" si="18"/>
        <v>0</v>
      </c>
      <c r="I623" s="136">
        <f t="shared" si="19"/>
        <v>0</v>
      </c>
      <c r="J623" s="73"/>
    </row>
    <row r="624" spans="1:10" s="5" customFormat="1" hidden="1">
      <c r="A624" s="1069"/>
      <c r="B624" s="244"/>
      <c r="C624" s="383"/>
      <c r="D624" s="383"/>
      <c r="E624" s="433"/>
      <c r="F624" s="55"/>
      <c r="G624" s="55"/>
      <c r="H624" s="136">
        <f t="shared" si="18"/>
        <v>0</v>
      </c>
      <c r="I624" s="136">
        <f t="shared" si="19"/>
        <v>0</v>
      </c>
      <c r="J624" s="73"/>
    </row>
    <row r="625" spans="1:10" s="5" customFormat="1" hidden="1">
      <c r="A625" s="1069"/>
      <c r="B625" s="244"/>
      <c r="C625" s="383"/>
      <c r="D625" s="383"/>
      <c r="E625" s="433"/>
      <c r="F625" s="55"/>
      <c r="G625" s="55"/>
      <c r="H625" s="136">
        <f t="shared" si="18"/>
        <v>0</v>
      </c>
      <c r="I625" s="136">
        <f t="shared" si="19"/>
        <v>0</v>
      </c>
      <c r="J625" s="73"/>
    </row>
    <row r="626" spans="1:10" s="5" customFormat="1" hidden="1">
      <c r="A626" s="1069"/>
      <c r="B626" s="244"/>
      <c r="C626" s="383"/>
      <c r="D626" s="383"/>
      <c r="E626" s="433"/>
      <c r="F626" s="55"/>
      <c r="G626" s="55"/>
      <c r="H626" s="136">
        <f t="shared" si="18"/>
        <v>0</v>
      </c>
      <c r="I626" s="136">
        <f t="shared" si="19"/>
        <v>0</v>
      </c>
      <c r="J626" s="73"/>
    </row>
    <row r="627" spans="1:10" s="5" customFormat="1" hidden="1">
      <c r="A627" s="1069"/>
      <c r="B627" s="247" t="s">
        <v>253</v>
      </c>
      <c r="C627" s="344">
        <f>SUM(C606:C626)</f>
        <v>0</v>
      </c>
      <c r="D627" s="344">
        <f>SUM(D606:D626)</f>
        <v>0</v>
      </c>
      <c r="E627" s="344">
        <f>SUM(E606:E626)</f>
        <v>0</v>
      </c>
      <c r="F627" s="75">
        <f>SUM(F606:F608)</f>
        <v>0</v>
      </c>
      <c r="G627" s="75">
        <f>SUM(G606:G608)</f>
        <v>0</v>
      </c>
      <c r="H627" s="136">
        <f t="shared" si="18"/>
        <v>0</v>
      </c>
      <c r="I627" s="136">
        <f t="shared" si="19"/>
        <v>0</v>
      </c>
      <c r="J627" s="73"/>
    </row>
    <row r="628" spans="1:10" s="5" customFormat="1" hidden="1">
      <c r="A628" s="1069" t="s">
        <v>321</v>
      </c>
      <c r="B628" s="245"/>
      <c r="C628" s="383"/>
      <c r="D628" s="383"/>
      <c r="E628" s="430"/>
      <c r="F628" s="138"/>
      <c r="G628" s="138"/>
      <c r="H628" s="136">
        <f t="shared" si="18"/>
        <v>0</v>
      </c>
      <c r="I628" s="136">
        <f t="shared" si="19"/>
        <v>0</v>
      </c>
      <c r="J628" s="73"/>
    </row>
    <row r="629" spans="1:10" s="5" customFormat="1" hidden="1">
      <c r="A629" s="1069"/>
      <c r="B629" s="245"/>
      <c r="C629" s="383"/>
      <c r="D629" s="383"/>
      <c r="E629" s="430"/>
      <c r="F629" s="55"/>
      <c r="G629" s="55"/>
      <c r="H629" s="136">
        <f t="shared" si="18"/>
        <v>0</v>
      </c>
      <c r="I629" s="136">
        <f t="shared" si="19"/>
        <v>0</v>
      </c>
      <c r="J629" s="73"/>
    </row>
    <row r="630" spans="1:10" s="5" customFormat="1" hidden="1">
      <c r="A630" s="1069"/>
      <c r="B630" s="244"/>
      <c r="C630" s="383"/>
      <c r="D630" s="383"/>
      <c r="E630" s="383"/>
      <c r="F630" s="55"/>
      <c r="G630" s="55"/>
      <c r="H630" s="136">
        <f t="shared" si="18"/>
        <v>0</v>
      </c>
      <c r="I630" s="136">
        <f t="shared" si="19"/>
        <v>0</v>
      </c>
      <c r="J630" s="73"/>
    </row>
    <row r="631" spans="1:10" s="5" customFormat="1" hidden="1">
      <c r="A631" s="1069"/>
      <c r="B631" s="244"/>
      <c r="C631" s="383"/>
      <c r="D631" s="383"/>
      <c r="E631" s="383"/>
      <c r="F631" s="55"/>
      <c r="G631" s="55"/>
      <c r="H631" s="136">
        <f t="shared" si="18"/>
        <v>0</v>
      </c>
      <c r="I631" s="136">
        <f t="shared" si="19"/>
        <v>0</v>
      </c>
      <c r="J631" s="73"/>
    </row>
    <row r="632" spans="1:10" s="5" customFormat="1" hidden="1">
      <c r="A632" s="1069"/>
      <c r="B632" s="244"/>
      <c r="C632" s="383"/>
      <c r="D632" s="383"/>
      <c r="E632" s="383"/>
      <c r="F632" s="55"/>
      <c r="G632" s="55"/>
      <c r="H632" s="136">
        <f t="shared" si="18"/>
        <v>0</v>
      </c>
      <c r="I632" s="136">
        <f t="shared" si="19"/>
        <v>0</v>
      </c>
      <c r="J632" s="73"/>
    </row>
    <row r="633" spans="1:10" s="5" customFormat="1" hidden="1">
      <c r="A633" s="1069"/>
      <c r="B633" s="244"/>
      <c r="C633" s="383"/>
      <c r="D633" s="383"/>
      <c r="E633" s="383"/>
      <c r="F633" s="55"/>
      <c r="G633" s="55"/>
      <c r="H633" s="136">
        <f t="shared" si="18"/>
        <v>0</v>
      </c>
      <c r="I633" s="136">
        <f t="shared" si="19"/>
        <v>0</v>
      </c>
      <c r="J633" s="73"/>
    </row>
    <row r="634" spans="1:10" s="5" customFormat="1" hidden="1">
      <c r="A634" s="1069"/>
      <c r="B634" s="244"/>
      <c r="C634" s="383"/>
      <c r="D634" s="383"/>
      <c r="E634" s="430"/>
      <c r="F634" s="55"/>
      <c r="G634" s="55"/>
      <c r="H634" s="136">
        <f t="shared" si="18"/>
        <v>0</v>
      </c>
      <c r="I634" s="136">
        <f t="shared" si="19"/>
        <v>0</v>
      </c>
      <c r="J634" s="73"/>
    </row>
    <row r="635" spans="1:10" s="5" customFormat="1" hidden="1">
      <c r="A635" s="1069"/>
      <c r="B635" s="244"/>
      <c r="C635" s="430"/>
      <c r="D635" s="430"/>
      <c r="E635" s="430"/>
      <c r="F635" s="55"/>
      <c r="G635" s="55"/>
      <c r="H635" s="136">
        <f t="shared" si="18"/>
        <v>0</v>
      </c>
      <c r="I635" s="136">
        <f t="shared" si="19"/>
        <v>0</v>
      </c>
      <c r="J635" s="73"/>
    </row>
    <row r="636" spans="1:10" s="5" customFormat="1" hidden="1">
      <c r="A636" s="1069"/>
      <c r="B636" s="244"/>
      <c r="C636" s="383"/>
      <c r="D636" s="383"/>
      <c r="E636" s="430"/>
      <c r="F636" s="55"/>
      <c r="G636" s="55"/>
      <c r="H636" s="136">
        <f t="shared" si="18"/>
        <v>0</v>
      </c>
      <c r="I636" s="136">
        <f t="shared" si="19"/>
        <v>0</v>
      </c>
      <c r="J636" s="73"/>
    </row>
    <row r="637" spans="1:10" s="5" customFormat="1" hidden="1">
      <c r="A637" s="1069"/>
      <c r="B637" s="246"/>
      <c r="C637" s="434"/>
      <c r="D637" s="434"/>
      <c r="E637" s="435"/>
      <c r="F637" s="55"/>
      <c r="G637" s="55"/>
      <c r="H637" s="136">
        <f t="shared" si="18"/>
        <v>0</v>
      </c>
      <c r="I637" s="136">
        <f t="shared" si="19"/>
        <v>0</v>
      </c>
      <c r="J637" s="73"/>
    </row>
    <row r="638" spans="1:10" s="5" customFormat="1" hidden="1">
      <c r="A638" s="1069"/>
      <c r="B638" s="244"/>
      <c r="C638" s="383"/>
      <c r="D638" s="383"/>
      <c r="E638" s="433"/>
      <c r="F638" s="55"/>
      <c r="G638" s="55"/>
      <c r="H638" s="136">
        <f t="shared" si="18"/>
        <v>0</v>
      </c>
      <c r="I638" s="136">
        <f t="shared" si="19"/>
        <v>0</v>
      </c>
      <c r="J638" s="73"/>
    </row>
    <row r="639" spans="1:10" s="5" customFormat="1" hidden="1">
      <c r="A639" s="1069"/>
      <c r="B639" s="244"/>
      <c r="C639" s="383"/>
      <c r="D639" s="383"/>
      <c r="E639" s="433"/>
      <c r="F639" s="55"/>
      <c r="G639" s="55"/>
      <c r="H639" s="136">
        <f t="shared" si="18"/>
        <v>0</v>
      </c>
      <c r="I639" s="136">
        <f t="shared" si="19"/>
        <v>0</v>
      </c>
      <c r="J639" s="73"/>
    </row>
    <row r="640" spans="1:10" s="5" customFormat="1" hidden="1">
      <c r="A640" s="1069"/>
      <c r="B640" s="244"/>
      <c r="C640" s="383"/>
      <c r="D640" s="383"/>
      <c r="E640" s="433"/>
      <c r="F640" s="55"/>
      <c r="G640" s="55"/>
      <c r="H640" s="136">
        <f t="shared" si="18"/>
        <v>0</v>
      </c>
      <c r="I640" s="136">
        <f t="shared" si="19"/>
        <v>0</v>
      </c>
      <c r="J640" s="73"/>
    </row>
    <row r="641" spans="1:10" s="5" customFormat="1" hidden="1">
      <c r="A641" s="1069"/>
      <c r="B641" s="244"/>
      <c r="C641" s="383"/>
      <c r="D641" s="383"/>
      <c r="E641" s="433"/>
      <c r="F641" s="55"/>
      <c r="G641" s="55"/>
      <c r="H641" s="136">
        <f t="shared" si="18"/>
        <v>0</v>
      </c>
      <c r="I641" s="136">
        <f t="shared" si="19"/>
        <v>0</v>
      </c>
      <c r="J641" s="73"/>
    </row>
    <row r="642" spans="1:10" s="5" customFormat="1" hidden="1">
      <c r="A642" s="1069"/>
      <c r="B642" s="244"/>
      <c r="C642" s="383"/>
      <c r="D642" s="383"/>
      <c r="E642" s="433"/>
      <c r="F642" s="55"/>
      <c r="G642" s="55"/>
      <c r="H642" s="136">
        <f t="shared" si="18"/>
        <v>0</v>
      </c>
      <c r="I642" s="136">
        <f t="shared" si="19"/>
        <v>0</v>
      </c>
      <c r="J642" s="73"/>
    </row>
    <row r="643" spans="1:10" s="5" customFormat="1" hidden="1">
      <c r="A643" s="1069"/>
      <c r="B643" s="244"/>
      <c r="C643" s="383"/>
      <c r="D643" s="383"/>
      <c r="E643" s="433"/>
      <c r="F643" s="55"/>
      <c r="G643" s="55"/>
      <c r="H643" s="136">
        <f t="shared" si="18"/>
        <v>0</v>
      </c>
      <c r="I643" s="136">
        <f t="shared" si="19"/>
        <v>0</v>
      </c>
      <c r="J643" s="73"/>
    </row>
    <row r="644" spans="1:10" s="5" customFormat="1" hidden="1">
      <c r="A644" s="1069"/>
      <c r="B644" s="244"/>
      <c r="C644" s="383"/>
      <c r="D644" s="383"/>
      <c r="E644" s="433"/>
      <c r="F644" s="55"/>
      <c r="G644" s="55"/>
      <c r="H644" s="136">
        <f t="shared" si="18"/>
        <v>0</v>
      </c>
      <c r="I644" s="136">
        <f t="shared" si="19"/>
        <v>0</v>
      </c>
      <c r="J644" s="73"/>
    </row>
    <row r="645" spans="1:10" s="5" customFormat="1" hidden="1">
      <c r="A645" s="1069"/>
      <c r="B645" s="244"/>
      <c r="C645" s="383"/>
      <c r="D645" s="383"/>
      <c r="E645" s="433"/>
      <c r="F645" s="55"/>
      <c r="G645" s="55"/>
      <c r="H645" s="136">
        <f t="shared" si="18"/>
        <v>0</v>
      </c>
      <c r="I645" s="136">
        <f t="shared" si="19"/>
        <v>0</v>
      </c>
      <c r="J645" s="73"/>
    </row>
    <row r="646" spans="1:10" s="5" customFormat="1" hidden="1">
      <c r="A646" s="1069"/>
      <c r="B646" s="244"/>
      <c r="C646" s="383"/>
      <c r="D646" s="383"/>
      <c r="E646" s="433"/>
      <c r="F646" s="55"/>
      <c r="G646" s="55"/>
      <c r="H646" s="136">
        <f t="shared" si="18"/>
        <v>0</v>
      </c>
      <c r="I646" s="136">
        <f t="shared" si="19"/>
        <v>0</v>
      </c>
      <c r="J646" s="73"/>
    </row>
    <row r="647" spans="1:10" s="5" customFormat="1" hidden="1">
      <c r="A647" s="1069"/>
      <c r="B647" s="244"/>
      <c r="C647" s="383"/>
      <c r="D647" s="383"/>
      <c r="E647" s="433"/>
      <c r="F647" s="55"/>
      <c r="G647" s="55"/>
      <c r="H647" s="136">
        <f t="shared" si="18"/>
        <v>0</v>
      </c>
      <c r="I647" s="136">
        <f t="shared" si="19"/>
        <v>0</v>
      </c>
      <c r="J647" s="73"/>
    </row>
    <row r="648" spans="1:10" s="5" customFormat="1" hidden="1">
      <c r="A648" s="1069"/>
      <c r="B648" s="244"/>
      <c r="C648" s="383"/>
      <c r="D648" s="383"/>
      <c r="E648" s="433"/>
      <c r="F648" s="55"/>
      <c r="G648" s="55"/>
      <c r="H648" s="136">
        <f t="shared" si="18"/>
        <v>0</v>
      </c>
      <c r="I648" s="136">
        <f t="shared" si="19"/>
        <v>0</v>
      </c>
      <c r="J648" s="73"/>
    </row>
    <row r="649" spans="1:10" s="5" customFormat="1" hidden="1">
      <c r="A649" s="1069"/>
      <c r="B649" s="244"/>
      <c r="C649" s="383"/>
      <c r="D649" s="383"/>
      <c r="E649" s="433"/>
      <c r="F649" s="55"/>
      <c r="G649" s="55"/>
      <c r="H649" s="136">
        <f t="shared" ref="H649:H712" si="20">E649+D649-C649</f>
        <v>0</v>
      </c>
      <c r="I649" s="136">
        <f t="shared" ref="I649:I712" si="21">SUM(C649:E649)</f>
        <v>0</v>
      </c>
      <c r="J649" s="73"/>
    </row>
    <row r="650" spans="1:10" s="5" customFormat="1" hidden="1">
      <c r="A650" s="1069"/>
      <c r="B650" s="244"/>
      <c r="C650" s="383"/>
      <c r="D650" s="383"/>
      <c r="E650" s="433"/>
      <c r="F650" s="55"/>
      <c r="G650" s="55"/>
      <c r="H650" s="136">
        <f t="shared" si="20"/>
        <v>0</v>
      </c>
      <c r="I650" s="136">
        <f t="shared" si="21"/>
        <v>0</v>
      </c>
      <c r="J650" s="73"/>
    </row>
    <row r="651" spans="1:10" s="5" customFormat="1" hidden="1">
      <c r="A651" s="1069"/>
      <c r="B651" s="244"/>
      <c r="C651" s="383"/>
      <c r="D651" s="383"/>
      <c r="E651" s="433"/>
      <c r="F651" s="55"/>
      <c r="G651" s="55"/>
      <c r="H651" s="136">
        <f t="shared" si="20"/>
        <v>0</v>
      </c>
      <c r="I651" s="136">
        <f t="shared" si="21"/>
        <v>0</v>
      </c>
      <c r="J651" s="73"/>
    </row>
    <row r="652" spans="1:10" s="5" customFormat="1" hidden="1">
      <c r="A652" s="1069"/>
      <c r="B652" s="244"/>
      <c r="C652" s="383"/>
      <c r="D652" s="383"/>
      <c r="E652" s="433"/>
      <c r="F652" s="55"/>
      <c r="G652" s="55"/>
      <c r="H652" s="136">
        <f t="shared" si="20"/>
        <v>0</v>
      </c>
      <c r="I652" s="136">
        <f t="shared" si="21"/>
        <v>0</v>
      </c>
      <c r="J652" s="73"/>
    </row>
    <row r="653" spans="1:10" s="5" customFormat="1" hidden="1">
      <c r="A653" s="1069"/>
      <c r="B653" s="244"/>
      <c r="C653" s="383"/>
      <c r="D653" s="383"/>
      <c r="E653" s="433"/>
      <c r="F653" s="55"/>
      <c r="G653" s="55"/>
      <c r="H653" s="136">
        <f t="shared" si="20"/>
        <v>0</v>
      </c>
      <c r="I653" s="136">
        <f t="shared" si="21"/>
        <v>0</v>
      </c>
      <c r="J653" s="73"/>
    </row>
    <row r="654" spans="1:10" s="5" customFormat="1" hidden="1">
      <c r="A654" s="1069"/>
      <c r="B654" s="244"/>
      <c r="C654" s="383"/>
      <c r="D654" s="383"/>
      <c r="E654" s="433"/>
      <c r="F654" s="55"/>
      <c r="G654" s="55"/>
      <c r="H654" s="136">
        <f t="shared" si="20"/>
        <v>0</v>
      </c>
      <c r="I654" s="136">
        <f t="shared" si="21"/>
        <v>0</v>
      </c>
      <c r="J654" s="73"/>
    </row>
    <row r="655" spans="1:10" s="5" customFormat="1" hidden="1">
      <c r="A655" s="1069"/>
      <c r="B655" s="244"/>
      <c r="C655" s="383"/>
      <c r="D655" s="383"/>
      <c r="E655" s="433"/>
      <c r="F655" s="55"/>
      <c r="G655" s="55"/>
      <c r="H655" s="136">
        <f t="shared" si="20"/>
        <v>0</v>
      </c>
      <c r="I655" s="136">
        <f t="shared" si="21"/>
        <v>0</v>
      </c>
      <c r="J655" s="73"/>
    </row>
    <row r="656" spans="1:10" s="5" customFormat="1" hidden="1">
      <c r="A656" s="1069"/>
      <c r="B656" s="244"/>
      <c r="C656" s="383"/>
      <c r="D656" s="383"/>
      <c r="E656" s="433"/>
      <c r="F656" s="55"/>
      <c r="G656" s="55"/>
      <c r="H656" s="136">
        <f t="shared" si="20"/>
        <v>0</v>
      </c>
      <c r="I656" s="136">
        <f t="shared" si="21"/>
        <v>0</v>
      </c>
      <c r="J656" s="73"/>
    </row>
    <row r="657" spans="1:10" s="5" customFormat="1" hidden="1">
      <c r="A657" s="1069"/>
      <c r="B657" s="244"/>
      <c r="C657" s="383"/>
      <c r="D657" s="383"/>
      <c r="E657" s="433"/>
      <c r="F657" s="55"/>
      <c r="G657" s="55"/>
      <c r="H657" s="136">
        <f t="shared" si="20"/>
        <v>0</v>
      </c>
      <c r="I657" s="136">
        <f t="shared" si="21"/>
        <v>0</v>
      </c>
      <c r="J657" s="73"/>
    </row>
    <row r="658" spans="1:10" s="5" customFormat="1" hidden="1">
      <c r="A658" s="1069"/>
      <c r="B658" s="244"/>
      <c r="C658" s="383"/>
      <c r="D658" s="383"/>
      <c r="E658" s="433"/>
      <c r="F658" s="55"/>
      <c r="G658" s="55"/>
      <c r="H658" s="136">
        <f t="shared" si="20"/>
        <v>0</v>
      </c>
      <c r="I658" s="136">
        <f t="shared" si="21"/>
        <v>0</v>
      </c>
      <c r="J658" s="73"/>
    </row>
    <row r="659" spans="1:10" s="5" customFormat="1" hidden="1">
      <c r="A659" s="1069"/>
      <c r="B659" s="247" t="s">
        <v>253</v>
      </c>
      <c r="C659" s="344">
        <f>SUM(C628:C658)</f>
        <v>0</v>
      </c>
      <c r="D659" s="344">
        <f>SUM(D628:D658)</f>
        <v>0</v>
      </c>
      <c r="E659" s="344">
        <f>SUM(E628:E658)</f>
        <v>0</v>
      </c>
      <c r="F659" s="75">
        <f>SUM(F628:F629)</f>
        <v>0</v>
      </c>
      <c r="G659" s="75">
        <f>SUM(G628:G629)</f>
        <v>0</v>
      </c>
      <c r="H659" s="136">
        <f t="shared" si="20"/>
        <v>0</v>
      </c>
      <c r="I659" s="136">
        <f t="shared" si="21"/>
        <v>0</v>
      </c>
      <c r="J659" s="73"/>
    </row>
    <row r="660" spans="1:10" ht="93.75">
      <c r="A660" s="1070" t="s">
        <v>313</v>
      </c>
      <c r="B660" s="310" t="s">
        <v>1819</v>
      </c>
      <c r="C660" s="453">
        <v>91000</v>
      </c>
      <c r="D660" s="453"/>
      <c r="E660" s="453">
        <v>91000</v>
      </c>
      <c r="F660" s="337"/>
      <c r="G660" s="337"/>
      <c r="H660" s="459">
        <f t="shared" si="20"/>
        <v>0</v>
      </c>
      <c r="I660" s="459">
        <f t="shared" si="21"/>
        <v>182000</v>
      </c>
      <c r="J660" s="460"/>
    </row>
    <row r="661" spans="1:10" ht="37.5">
      <c r="A661" s="1071"/>
      <c r="B661" s="310" t="s">
        <v>1053</v>
      </c>
      <c r="C661" s="455">
        <v>540000</v>
      </c>
      <c r="D661" s="455"/>
      <c r="E661" s="456">
        <v>540000</v>
      </c>
      <c r="F661" s="398"/>
      <c r="G661" s="398"/>
      <c r="H661" s="459">
        <f t="shared" si="20"/>
        <v>0</v>
      </c>
      <c r="I661" s="459">
        <f t="shared" si="21"/>
        <v>1080000</v>
      </c>
    </row>
    <row r="662" spans="1:10" ht="131.25">
      <c r="A662" s="1071"/>
      <c r="B662" s="310" t="s">
        <v>1681</v>
      </c>
      <c r="C662" s="455">
        <v>92030</v>
      </c>
      <c r="D662" s="455"/>
      <c r="E662" s="455">
        <v>92030</v>
      </c>
      <c r="F662" s="365"/>
      <c r="G662" s="365"/>
      <c r="H662" s="459">
        <f t="shared" si="20"/>
        <v>0</v>
      </c>
      <c r="I662" s="459">
        <f t="shared" si="21"/>
        <v>184060</v>
      </c>
      <c r="J662" s="460"/>
    </row>
    <row r="663" spans="1:10" s="5" customFormat="1" hidden="1">
      <c r="A663" s="1072"/>
      <c r="B663" s="244"/>
      <c r="C663" s="383"/>
      <c r="D663" s="383"/>
      <c r="E663" s="383"/>
      <c r="F663" s="55"/>
      <c r="G663" s="55"/>
      <c r="H663" s="136">
        <f t="shared" si="20"/>
        <v>0</v>
      </c>
      <c r="I663" s="136">
        <f t="shared" si="21"/>
        <v>0</v>
      </c>
      <c r="J663" s="73"/>
    </row>
    <row r="664" spans="1:10" s="5" customFormat="1" hidden="1">
      <c r="A664" s="1072"/>
      <c r="B664" s="244"/>
      <c r="C664" s="383"/>
      <c r="D664" s="383"/>
      <c r="E664" s="383"/>
      <c r="F664" s="55"/>
      <c r="G664" s="55"/>
      <c r="H664" s="136">
        <f t="shared" si="20"/>
        <v>0</v>
      </c>
      <c r="I664" s="136">
        <f t="shared" si="21"/>
        <v>0</v>
      </c>
      <c r="J664" s="73"/>
    </row>
    <row r="665" spans="1:10" s="5" customFormat="1" hidden="1">
      <c r="A665" s="1072"/>
      <c r="B665" s="244"/>
      <c r="C665" s="383"/>
      <c r="D665" s="383"/>
      <c r="E665" s="383"/>
      <c r="F665" s="55"/>
      <c r="G665" s="55"/>
      <c r="H665" s="136">
        <f t="shared" si="20"/>
        <v>0</v>
      </c>
      <c r="I665" s="136">
        <f t="shared" si="21"/>
        <v>0</v>
      </c>
      <c r="J665" s="73"/>
    </row>
    <row r="666" spans="1:10" s="5" customFormat="1" hidden="1">
      <c r="A666" s="1072"/>
      <c r="B666" s="244"/>
      <c r="C666" s="383"/>
      <c r="D666" s="383"/>
      <c r="E666" s="383"/>
      <c r="F666" s="55"/>
      <c r="G666" s="55"/>
      <c r="H666" s="136">
        <f t="shared" si="20"/>
        <v>0</v>
      </c>
      <c r="I666" s="136">
        <f t="shared" si="21"/>
        <v>0</v>
      </c>
      <c r="J666" s="73"/>
    </row>
    <row r="667" spans="1:10" s="5" customFormat="1" hidden="1">
      <c r="A667" s="1072"/>
      <c r="B667" s="244"/>
      <c r="C667" s="383"/>
      <c r="D667" s="383"/>
      <c r="E667" s="383"/>
      <c r="F667" s="55"/>
      <c r="G667" s="55"/>
      <c r="H667" s="136">
        <f t="shared" si="20"/>
        <v>0</v>
      </c>
      <c r="I667" s="136">
        <f t="shared" si="21"/>
        <v>0</v>
      </c>
      <c r="J667" s="73"/>
    </row>
    <row r="668" spans="1:10" s="5" customFormat="1" hidden="1">
      <c r="A668" s="1072"/>
      <c r="B668" s="244"/>
      <c r="C668" s="383"/>
      <c r="D668" s="383"/>
      <c r="E668" s="383"/>
      <c r="F668" s="55"/>
      <c r="G668" s="55"/>
      <c r="H668" s="136">
        <f t="shared" si="20"/>
        <v>0</v>
      </c>
      <c r="I668" s="136">
        <f t="shared" si="21"/>
        <v>0</v>
      </c>
      <c r="J668" s="73"/>
    </row>
    <row r="669" spans="1:10" s="5" customFormat="1" hidden="1">
      <c r="A669" s="1072"/>
      <c r="B669" s="244"/>
      <c r="C669" s="383"/>
      <c r="D669" s="383"/>
      <c r="E669" s="383"/>
      <c r="F669" s="55"/>
      <c r="G669" s="55"/>
      <c r="H669" s="136">
        <f t="shared" si="20"/>
        <v>0</v>
      </c>
      <c r="I669" s="136">
        <f t="shared" si="21"/>
        <v>0</v>
      </c>
      <c r="J669" s="73"/>
    </row>
    <row r="670" spans="1:10" s="5" customFormat="1" hidden="1">
      <c r="A670" s="1072"/>
      <c r="B670" s="244"/>
      <c r="C670" s="383"/>
      <c r="D670" s="383"/>
      <c r="E670" s="383"/>
      <c r="F670" s="55"/>
      <c r="G670" s="55"/>
      <c r="H670" s="136">
        <f t="shared" si="20"/>
        <v>0</v>
      </c>
      <c r="I670" s="136">
        <f t="shared" si="21"/>
        <v>0</v>
      </c>
      <c r="J670" s="73"/>
    </row>
    <row r="671" spans="1:10" s="5" customFormat="1" hidden="1">
      <c r="A671" s="1072"/>
      <c r="B671" s="244"/>
      <c r="C671" s="383"/>
      <c r="D671" s="383"/>
      <c r="E671" s="383"/>
      <c r="F671" s="55"/>
      <c r="G671" s="55"/>
      <c r="H671" s="136">
        <f t="shared" si="20"/>
        <v>0</v>
      </c>
      <c r="I671" s="136">
        <f t="shared" si="21"/>
        <v>0</v>
      </c>
      <c r="J671" s="73"/>
    </row>
    <row r="672" spans="1:10" s="5" customFormat="1" hidden="1">
      <c r="A672" s="1072"/>
      <c r="B672" s="244"/>
      <c r="C672" s="383"/>
      <c r="D672" s="383"/>
      <c r="E672" s="383"/>
      <c r="F672" s="55"/>
      <c r="G672" s="55"/>
      <c r="H672" s="136">
        <f t="shared" si="20"/>
        <v>0</v>
      </c>
      <c r="I672" s="136">
        <f t="shared" si="21"/>
        <v>0</v>
      </c>
      <c r="J672" s="73"/>
    </row>
    <row r="673" spans="1:10" s="5" customFormat="1" hidden="1">
      <c r="A673" s="1072"/>
      <c r="B673" s="244"/>
      <c r="C673" s="383"/>
      <c r="D673" s="383"/>
      <c r="E673" s="383"/>
      <c r="F673" s="55"/>
      <c r="G673" s="55"/>
      <c r="H673" s="136">
        <f t="shared" si="20"/>
        <v>0</v>
      </c>
      <c r="I673" s="136">
        <f t="shared" si="21"/>
        <v>0</v>
      </c>
      <c r="J673" s="73"/>
    </row>
    <row r="674" spans="1:10" s="5" customFormat="1" hidden="1">
      <c r="A674" s="1072"/>
      <c r="B674" s="249"/>
      <c r="C674" s="430"/>
      <c r="D674" s="383"/>
      <c r="E674" s="383"/>
      <c r="F674" s="55"/>
      <c r="G674" s="55"/>
      <c r="H674" s="136">
        <f t="shared" si="20"/>
        <v>0</v>
      </c>
      <c r="I674" s="136">
        <f t="shared" si="21"/>
        <v>0</v>
      </c>
      <c r="J674" s="73"/>
    </row>
    <row r="675" spans="1:10" s="5" customFormat="1" hidden="1">
      <c r="A675" s="1072"/>
      <c r="B675" s="249"/>
      <c r="C675" s="430"/>
      <c r="D675" s="383"/>
      <c r="E675" s="383"/>
      <c r="F675" s="55"/>
      <c r="G675" s="55"/>
      <c r="H675" s="136">
        <f t="shared" si="20"/>
        <v>0</v>
      </c>
      <c r="I675" s="136">
        <f t="shared" si="21"/>
        <v>0</v>
      </c>
      <c r="J675" s="73"/>
    </row>
    <row r="676" spans="1:10" s="5" customFormat="1" hidden="1">
      <c r="A676" s="1072"/>
      <c r="B676" s="244"/>
      <c r="C676" s="430"/>
      <c r="D676" s="430"/>
      <c r="E676" s="430"/>
      <c r="F676" s="55"/>
      <c r="G676" s="55"/>
      <c r="H676" s="136">
        <f t="shared" si="20"/>
        <v>0</v>
      </c>
      <c r="I676" s="136">
        <f t="shared" si="21"/>
        <v>0</v>
      </c>
      <c r="J676" s="73"/>
    </row>
    <row r="677" spans="1:10" s="5" customFormat="1" hidden="1">
      <c r="A677" s="1072"/>
      <c r="B677" s="244"/>
      <c r="C677" s="430"/>
      <c r="D677" s="430"/>
      <c r="E677" s="430"/>
      <c r="F677" s="55"/>
      <c r="G677" s="55"/>
      <c r="H677" s="136">
        <f t="shared" si="20"/>
        <v>0</v>
      </c>
      <c r="I677" s="136">
        <f t="shared" si="21"/>
        <v>0</v>
      </c>
      <c r="J677" s="73"/>
    </row>
    <row r="678" spans="1:10" s="5" customFormat="1" hidden="1">
      <c r="A678" s="1072"/>
      <c r="B678" s="244"/>
      <c r="C678" s="430"/>
      <c r="D678" s="430"/>
      <c r="E678" s="430"/>
      <c r="F678" s="55"/>
      <c r="G678" s="55"/>
      <c r="H678" s="136">
        <f t="shared" si="20"/>
        <v>0</v>
      </c>
      <c r="I678" s="136">
        <f t="shared" si="21"/>
        <v>0</v>
      </c>
      <c r="J678" s="73"/>
    </row>
    <row r="679" spans="1:10" s="5" customFormat="1" hidden="1">
      <c r="A679" s="1072"/>
      <c r="B679" s="246"/>
      <c r="C679" s="431"/>
      <c r="D679" s="431"/>
      <c r="E679" s="432"/>
      <c r="F679" s="55"/>
      <c r="G679" s="55"/>
      <c r="H679" s="136">
        <f t="shared" si="20"/>
        <v>0</v>
      </c>
      <c r="I679" s="136">
        <f t="shared" si="21"/>
        <v>0</v>
      </c>
      <c r="J679" s="73"/>
    </row>
    <row r="680" spans="1:10" s="5" customFormat="1" hidden="1">
      <c r="A680" s="1072"/>
      <c r="B680" s="246"/>
      <c r="C680" s="431"/>
      <c r="D680" s="431"/>
      <c r="E680" s="432"/>
      <c r="F680" s="55"/>
      <c r="G680" s="55"/>
      <c r="H680" s="136">
        <f t="shared" si="20"/>
        <v>0</v>
      </c>
      <c r="I680" s="136">
        <f t="shared" si="21"/>
        <v>0</v>
      </c>
      <c r="J680" s="73"/>
    </row>
    <row r="681" spans="1:10" s="5" customFormat="1" hidden="1">
      <c r="A681" s="1072"/>
      <c r="B681" s="246"/>
      <c r="C681" s="431"/>
      <c r="D681" s="431"/>
      <c r="E681" s="432"/>
      <c r="F681" s="55"/>
      <c r="G681" s="55"/>
      <c r="H681" s="136">
        <f t="shared" si="20"/>
        <v>0</v>
      </c>
      <c r="I681" s="136">
        <f t="shared" si="21"/>
        <v>0</v>
      </c>
      <c r="J681" s="73"/>
    </row>
    <row r="682" spans="1:10" s="5" customFormat="1" hidden="1">
      <c r="A682" s="1072"/>
      <c r="B682" s="246"/>
      <c r="C682" s="431"/>
      <c r="D682" s="431"/>
      <c r="E682" s="432"/>
      <c r="F682" s="55"/>
      <c r="G682" s="55"/>
      <c r="H682" s="136">
        <f t="shared" si="20"/>
        <v>0</v>
      </c>
      <c r="I682" s="136">
        <f t="shared" si="21"/>
        <v>0</v>
      </c>
      <c r="J682" s="73"/>
    </row>
    <row r="683" spans="1:10" s="5" customFormat="1" hidden="1">
      <c r="A683" s="1072"/>
      <c r="B683" s="246"/>
      <c r="C683" s="431"/>
      <c r="D683" s="431"/>
      <c r="E683" s="432"/>
      <c r="F683" s="55"/>
      <c r="G683" s="55"/>
      <c r="H683" s="136">
        <f t="shared" si="20"/>
        <v>0</v>
      </c>
      <c r="I683" s="136">
        <f t="shared" si="21"/>
        <v>0</v>
      </c>
      <c r="J683" s="73"/>
    </row>
    <row r="684" spans="1:10" s="5" customFormat="1" hidden="1">
      <c r="A684" s="1072"/>
      <c r="B684" s="246"/>
      <c r="C684" s="431"/>
      <c r="D684" s="431"/>
      <c r="E684" s="432"/>
      <c r="F684" s="55"/>
      <c r="G684" s="55"/>
      <c r="H684" s="136">
        <f t="shared" si="20"/>
        <v>0</v>
      </c>
      <c r="I684" s="136">
        <f t="shared" si="21"/>
        <v>0</v>
      </c>
      <c r="J684" s="73"/>
    </row>
    <row r="685" spans="1:10" s="5" customFormat="1" hidden="1">
      <c r="A685" s="1072"/>
      <c r="B685" s="246"/>
      <c r="C685" s="431"/>
      <c r="D685" s="431"/>
      <c r="E685" s="432"/>
      <c r="F685" s="55"/>
      <c r="G685" s="55"/>
      <c r="H685" s="136">
        <f t="shared" si="20"/>
        <v>0</v>
      </c>
      <c r="I685" s="136">
        <f t="shared" si="21"/>
        <v>0</v>
      </c>
      <c r="J685" s="73"/>
    </row>
    <row r="686" spans="1:10" s="5" customFormat="1" hidden="1">
      <c r="A686" s="1072"/>
      <c r="B686" s="246"/>
      <c r="C686" s="431"/>
      <c r="D686" s="431"/>
      <c r="E686" s="432"/>
      <c r="F686" s="55"/>
      <c r="G686" s="55"/>
      <c r="H686" s="136">
        <f t="shared" si="20"/>
        <v>0</v>
      </c>
      <c r="I686" s="136">
        <f t="shared" si="21"/>
        <v>0</v>
      </c>
      <c r="J686" s="73"/>
    </row>
    <row r="687" spans="1:10" s="5" customFormat="1" hidden="1">
      <c r="A687" s="1072"/>
      <c r="B687" s="246"/>
      <c r="C687" s="431"/>
      <c r="D687" s="431"/>
      <c r="E687" s="432"/>
      <c r="F687" s="55"/>
      <c r="G687" s="55"/>
      <c r="H687" s="136">
        <f t="shared" si="20"/>
        <v>0</v>
      </c>
      <c r="I687" s="136">
        <f t="shared" si="21"/>
        <v>0</v>
      </c>
      <c r="J687" s="73"/>
    </row>
    <row r="688" spans="1:10" s="5" customFormat="1" hidden="1">
      <c r="A688" s="1072"/>
      <c r="B688" s="246"/>
      <c r="C688" s="431"/>
      <c r="D688" s="431"/>
      <c r="E688" s="432"/>
      <c r="F688" s="55"/>
      <c r="G688" s="55"/>
      <c r="H688" s="136">
        <f t="shared" si="20"/>
        <v>0</v>
      </c>
      <c r="I688" s="136">
        <f t="shared" si="21"/>
        <v>0</v>
      </c>
      <c r="J688" s="73"/>
    </row>
    <row r="689" spans="1:10" s="5" customFormat="1" hidden="1">
      <c r="A689" s="1072"/>
      <c r="B689" s="246"/>
      <c r="C689" s="431"/>
      <c r="D689" s="431"/>
      <c r="E689" s="432"/>
      <c r="F689" s="55"/>
      <c r="G689" s="55"/>
      <c r="H689" s="136">
        <f t="shared" si="20"/>
        <v>0</v>
      </c>
      <c r="I689" s="136">
        <f t="shared" si="21"/>
        <v>0</v>
      </c>
      <c r="J689" s="73"/>
    </row>
    <row r="690" spans="1:10" s="5" customFormat="1" hidden="1">
      <c r="A690" s="1072"/>
      <c r="B690" s="246"/>
      <c r="C690" s="431"/>
      <c r="D690" s="431"/>
      <c r="E690" s="432"/>
      <c r="F690" s="55"/>
      <c r="G690" s="55"/>
      <c r="H690" s="136">
        <f t="shared" si="20"/>
        <v>0</v>
      </c>
      <c r="I690" s="136">
        <f t="shared" si="21"/>
        <v>0</v>
      </c>
      <c r="J690" s="73"/>
    </row>
    <row r="691" spans="1:10" s="5" customFormat="1" hidden="1">
      <c r="A691" s="1072"/>
      <c r="B691" s="246"/>
      <c r="C691" s="434"/>
      <c r="D691" s="434"/>
      <c r="E691" s="435"/>
      <c r="F691" s="55"/>
      <c r="G691" s="55"/>
      <c r="H691" s="136">
        <f t="shared" si="20"/>
        <v>0</v>
      </c>
      <c r="I691" s="136">
        <f t="shared" si="21"/>
        <v>0</v>
      </c>
      <c r="J691" s="73"/>
    </row>
    <row r="692" spans="1:10" s="5" customFormat="1" hidden="1">
      <c r="A692" s="1072"/>
      <c r="B692" s="246"/>
      <c r="C692" s="434"/>
      <c r="D692" s="434"/>
      <c r="E692" s="435"/>
      <c r="F692" s="55"/>
      <c r="G692" s="55"/>
      <c r="H692" s="136">
        <f t="shared" si="20"/>
        <v>0</v>
      </c>
      <c r="I692" s="136">
        <f t="shared" si="21"/>
        <v>0</v>
      </c>
      <c r="J692" s="73"/>
    </row>
    <row r="693" spans="1:10" s="5" customFormat="1" hidden="1">
      <c r="A693" s="1072"/>
      <c r="B693" s="249"/>
      <c r="C693" s="433"/>
      <c r="D693" s="383"/>
      <c r="E693" s="383"/>
      <c r="F693" s="55"/>
      <c r="G693" s="55"/>
      <c r="H693" s="136">
        <f t="shared" si="20"/>
        <v>0</v>
      </c>
      <c r="I693" s="136">
        <f t="shared" si="21"/>
        <v>0</v>
      </c>
      <c r="J693" s="73"/>
    </row>
    <row r="694" spans="1:10" s="5" customFormat="1" hidden="1">
      <c r="A694" s="1072"/>
      <c r="B694" s="249"/>
      <c r="C694" s="433"/>
      <c r="D694" s="383"/>
      <c r="E694" s="383"/>
      <c r="F694" s="55"/>
      <c r="G694" s="55"/>
      <c r="H694" s="136">
        <f t="shared" si="20"/>
        <v>0</v>
      </c>
      <c r="I694" s="136">
        <f t="shared" si="21"/>
        <v>0</v>
      </c>
      <c r="J694" s="73"/>
    </row>
    <row r="695" spans="1:10" s="5" customFormat="1" hidden="1">
      <c r="A695" s="1072"/>
      <c r="B695" s="249"/>
      <c r="C695" s="433"/>
      <c r="D695" s="383"/>
      <c r="E695" s="383"/>
      <c r="F695" s="55"/>
      <c r="G695" s="55"/>
      <c r="H695" s="136">
        <f t="shared" si="20"/>
        <v>0</v>
      </c>
      <c r="I695" s="136">
        <f t="shared" si="21"/>
        <v>0</v>
      </c>
      <c r="J695" s="73"/>
    </row>
    <row r="696" spans="1:10" s="5" customFormat="1" hidden="1">
      <c r="A696" s="1072"/>
      <c r="B696" s="249"/>
      <c r="C696" s="433"/>
      <c r="D696" s="383"/>
      <c r="E696" s="383"/>
      <c r="F696" s="55"/>
      <c r="G696" s="55"/>
      <c r="H696" s="136">
        <f t="shared" si="20"/>
        <v>0</v>
      </c>
      <c r="I696" s="136">
        <f t="shared" si="21"/>
        <v>0</v>
      </c>
      <c r="J696" s="73"/>
    </row>
    <row r="697" spans="1:10" s="5" customFormat="1" hidden="1">
      <c r="A697" s="1072"/>
      <c r="B697" s="249"/>
      <c r="C697" s="433"/>
      <c r="D697" s="383"/>
      <c r="E697" s="383"/>
      <c r="F697" s="55"/>
      <c r="G697" s="55"/>
      <c r="H697" s="136">
        <f t="shared" si="20"/>
        <v>0</v>
      </c>
      <c r="I697" s="136">
        <f t="shared" si="21"/>
        <v>0</v>
      </c>
      <c r="J697" s="73"/>
    </row>
    <row r="698" spans="1:10" s="5" customFormat="1" hidden="1">
      <c r="A698" s="1072"/>
      <c r="B698" s="249"/>
      <c r="C698" s="433"/>
      <c r="D698" s="383"/>
      <c r="E698" s="383"/>
      <c r="F698" s="55"/>
      <c r="G698" s="55"/>
      <c r="H698" s="136">
        <f t="shared" si="20"/>
        <v>0</v>
      </c>
      <c r="I698" s="136">
        <f t="shared" si="21"/>
        <v>0</v>
      </c>
      <c r="J698" s="73"/>
    </row>
    <row r="699" spans="1:10" s="5" customFormat="1" hidden="1">
      <c r="A699" s="1072"/>
      <c r="B699" s="249"/>
      <c r="C699" s="433"/>
      <c r="D699" s="383"/>
      <c r="E699" s="383"/>
      <c r="F699" s="55"/>
      <c r="G699" s="55"/>
      <c r="H699" s="136">
        <f t="shared" si="20"/>
        <v>0</v>
      </c>
      <c r="I699" s="136">
        <f t="shared" si="21"/>
        <v>0</v>
      </c>
      <c r="J699" s="73"/>
    </row>
    <row r="700" spans="1:10" s="5" customFormat="1" hidden="1">
      <c r="A700" s="1072"/>
      <c r="B700" s="249"/>
      <c r="C700" s="433"/>
      <c r="D700" s="383"/>
      <c r="E700" s="383"/>
      <c r="F700" s="55"/>
      <c r="G700" s="55"/>
      <c r="H700" s="136">
        <f t="shared" si="20"/>
        <v>0</v>
      </c>
      <c r="I700" s="136">
        <f t="shared" si="21"/>
        <v>0</v>
      </c>
      <c r="J700" s="73"/>
    </row>
    <row r="701" spans="1:10" s="5" customFormat="1" hidden="1">
      <c r="A701" s="1072"/>
      <c r="B701" s="249"/>
      <c r="C701" s="433"/>
      <c r="D701" s="383"/>
      <c r="E701" s="383"/>
      <c r="F701" s="55"/>
      <c r="G701" s="55"/>
      <c r="H701" s="136">
        <f t="shared" si="20"/>
        <v>0</v>
      </c>
      <c r="I701" s="136">
        <f t="shared" si="21"/>
        <v>0</v>
      </c>
      <c r="J701" s="73"/>
    </row>
    <row r="702" spans="1:10" s="5" customFormat="1" hidden="1">
      <c r="A702" s="1072"/>
      <c r="B702" s="249"/>
      <c r="C702" s="433"/>
      <c r="D702" s="383"/>
      <c r="E702" s="383"/>
      <c r="F702" s="55"/>
      <c r="G702" s="55"/>
      <c r="H702" s="136">
        <f t="shared" si="20"/>
        <v>0</v>
      </c>
      <c r="I702" s="136">
        <f t="shared" si="21"/>
        <v>0</v>
      </c>
      <c r="J702" s="73"/>
    </row>
    <row r="703" spans="1:10">
      <c r="A703" s="1073"/>
      <c r="B703" s="461" t="s">
        <v>253</v>
      </c>
      <c r="C703" s="470">
        <f>SUM(C660:C702)</f>
        <v>723030</v>
      </c>
      <c r="D703" s="470">
        <f>SUM(D660:D702)</f>
        <v>0</v>
      </c>
      <c r="E703" s="470">
        <f>SUM(E660:E702)</f>
        <v>723030</v>
      </c>
      <c r="F703" s="75">
        <f>SUM(F672:F673)</f>
        <v>0</v>
      </c>
      <c r="G703" s="75">
        <f>SUM(G672:G673)</f>
        <v>0</v>
      </c>
      <c r="H703" s="459">
        <f t="shared" si="20"/>
        <v>0</v>
      </c>
      <c r="I703" s="459">
        <f t="shared" si="21"/>
        <v>1446060</v>
      </c>
      <c r="J703" s="460"/>
    </row>
    <row r="704" spans="1:10" s="460" customFormat="1" ht="93.75">
      <c r="A704" s="1068" t="s">
        <v>314</v>
      </c>
      <c r="B704" s="310" t="s">
        <v>1821</v>
      </c>
      <c r="C704" s="453">
        <v>57400</v>
      </c>
      <c r="D704" s="453"/>
      <c r="E704" s="453">
        <v>57400</v>
      </c>
      <c r="F704" s="136"/>
      <c r="G704" s="136"/>
      <c r="H704" s="459">
        <f t="shared" si="20"/>
        <v>0</v>
      </c>
      <c r="I704" s="459">
        <f t="shared" si="21"/>
        <v>114800</v>
      </c>
    </row>
    <row r="705" spans="1:10" s="460" customFormat="1" ht="131.25">
      <c r="A705" s="1068"/>
      <c r="B705" s="310" t="s">
        <v>1681</v>
      </c>
      <c r="C705" s="455">
        <v>78900</v>
      </c>
      <c r="D705" s="455"/>
      <c r="E705" s="456">
        <v>78900</v>
      </c>
      <c r="F705" s="138"/>
      <c r="G705" s="138"/>
      <c r="H705" s="459">
        <f t="shared" si="20"/>
        <v>0</v>
      </c>
      <c r="I705" s="459">
        <f t="shared" si="21"/>
        <v>157800</v>
      </c>
      <c r="J705" s="460" t="s">
        <v>1861</v>
      </c>
    </row>
    <row r="706" spans="1:10" s="5" customFormat="1" hidden="1">
      <c r="A706" s="1069"/>
      <c r="B706" s="244"/>
      <c r="C706" s="383"/>
      <c r="D706" s="383"/>
      <c r="E706" s="430"/>
      <c r="F706" s="138"/>
      <c r="G706" s="138"/>
      <c r="H706" s="136">
        <f t="shared" si="20"/>
        <v>0</v>
      </c>
      <c r="I706" s="136">
        <f t="shared" si="21"/>
        <v>0</v>
      </c>
      <c r="J706" s="73"/>
    </row>
    <row r="707" spans="1:10" s="5" customFormat="1" hidden="1">
      <c r="A707" s="1069"/>
      <c r="B707" s="244"/>
      <c r="C707" s="383"/>
      <c r="D707" s="383"/>
      <c r="E707" s="383"/>
      <c r="F707" s="55"/>
      <c r="G707" s="55"/>
      <c r="H707" s="136">
        <f t="shared" si="20"/>
        <v>0</v>
      </c>
      <c r="I707" s="136">
        <f t="shared" si="21"/>
        <v>0</v>
      </c>
      <c r="J707" s="73"/>
    </row>
    <row r="708" spans="1:10" s="5" customFormat="1" hidden="1">
      <c r="A708" s="1069"/>
      <c r="B708" s="244"/>
      <c r="C708" s="383"/>
      <c r="D708" s="383"/>
      <c r="E708" s="383"/>
      <c r="F708" s="55"/>
      <c r="G708" s="55"/>
      <c r="H708" s="136">
        <f t="shared" si="20"/>
        <v>0</v>
      </c>
      <c r="I708" s="136">
        <f t="shared" si="21"/>
        <v>0</v>
      </c>
      <c r="J708" s="73"/>
    </row>
    <row r="709" spans="1:10" s="5" customFormat="1" hidden="1">
      <c r="A709" s="1069"/>
      <c r="B709" s="244"/>
      <c r="C709" s="383"/>
      <c r="D709" s="383"/>
      <c r="E709" s="383"/>
      <c r="F709" s="55"/>
      <c r="G709" s="55"/>
      <c r="H709" s="136">
        <f t="shared" si="20"/>
        <v>0</v>
      </c>
      <c r="I709" s="136">
        <f t="shared" si="21"/>
        <v>0</v>
      </c>
      <c r="J709" s="73"/>
    </row>
    <row r="710" spans="1:10" s="5" customFormat="1" hidden="1">
      <c r="A710" s="1069"/>
      <c r="B710" s="244"/>
      <c r="C710" s="383"/>
      <c r="D710" s="383"/>
      <c r="E710" s="383"/>
      <c r="F710" s="55"/>
      <c r="G710" s="55"/>
      <c r="H710" s="136">
        <f t="shared" si="20"/>
        <v>0</v>
      </c>
      <c r="I710" s="136">
        <f t="shared" si="21"/>
        <v>0</v>
      </c>
      <c r="J710" s="73"/>
    </row>
    <row r="711" spans="1:10" s="5" customFormat="1" hidden="1">
      <c r="A711" s="1069"/>
      <c r="B711" s="244"/>
      <c r="C711" s="383"/>
      <c r="D711" s="383"/>
      <c r="E711" s="383"/>
      <c r="F711" s="55"/>
      <c r="G711" s="55"/>
      <c r="H711" s="136">
        <f t="shared" si="20"/>
        <v>0</v>
      </c>
      <c r="I711" s="136">
        <f t="shared" si="21"/>
        <v>0</v>
      </c>
      <c r="J711" s="73"/>
    </row>
    <row r="712" spans="1:10" s="5" customFormat="1" hidden="1">
      <c r="A712" s="1069"/>
      <c r="B712" s="244"/>
      <c r="C712" s="383"/>
      <c r="D712" s="383"/>
      <c r="E712" s="383"/>
      <c r="F712" s="55"/>
      <c r="G712" s="55"/>
      <c r="H712" s="136">
        <f t="shared" si="20"/>
        <v>0</v>
      </c>
      <c r="I712" s="136">
        <f t="shared" si="21"/>
        <v>0</v>
      </c>
      <c r="J712" s="73"/>
    </row>
    <row r="713" spans="1:10" s="5" customFormat="1" hidden="1">
      <c r="A713" s="1069"/>
      <c r="B713" s="244"/>
      <c r="C713" s="383"/>
      <c r="D713" s="383"/>
      <c r="E713" s="383"/>
      <c r="F713" s="55"/>
      <c r="G713" s="55"/>
      <c r="H713" s="136">
        <f t="shared" ref="H713:H776" si="22">E713+D713-C713</f>
        <v>0</v>
      </c>
      <c r="I713" s="136">
        <f t="shared" ref="I713:I776" si="23">SUM(C713:E713)</f>
        <v>0</v>
      </c>
      <c r="J713" s="73"/>
    </row>
    <row r="714" spans="1:10" s="5" customFormat="1" hidden="1">
      <c r="A714" s="1069"/>
      <c r="B714" s="244"/>
      <c r="C714" s="383"/>
      <c r="D714" s="383"/>
      <c r="E714" s="383"/>
      <c r="F714" s="55"/>
      <c r="G714" s="55"/>
      <c r="H714" s="136">
        <f t="shared" si="22"/>
        <v>0</v>
      </c>
      <c r="I714" s="136">
        <f t="shared" si="23"/>
        <v>0</v>
      </c>
      <c r="J714" s="73"/>
    </row>
    <row r="715" spans="1:10" s="5" customFormat="1" hidden="1">
      <c r="A715" s="1069"/>
      <c r="B715" s="244"/>
      <c r="C715" s="383"/>
      <c r="D715" s="383"/>
      <c r="E715" s="383"/>
      <c r="F715" s="55"/>
      <c r="G715" s="55"/>
      <c r="H715" s="136">
        <f t="shared" si="22"/>
        <v>0</v>
      </c>
      <c r="I715" s="136">
        <f t="shared" si="23"/>
        <v>0</v>
      </c>
      <c r="J715" s="73"/>
    </row>
    <row r="716" spans="1:10" s="5" customFormat="1" hidden="1">
      <c r="A716" s="1069"/>
      <c r="B716" s="244"/>
      <c r="C716" s="383"/>
      <c r="D716" s="383"/>
      <c r="E716" s="383"/>
      <c r="F716" s="55"/>
      <c r="G716" s="55"/>
      <c r="H716" s="136">
        <f t="shared" si="22"/>
        <v>0</v>
      </c>
      <c r="I716" s="136">
        <f t="shared" si="23"/>
        <v>0</v>
      </c>
      <c r="J716" s="73"/>
    </row>
    <row r="717" spans="1:10" s="5" customFormat="1" hidden="1">
      <c r="A717" s="1069"/>
      <c r="B717" s="244"/>
      <c r="C717" s="383"/>
      <c r="D717" s="383"/>
      <c r="E717" s="383"/>
      <c r="F717" s="55"/>
      <c r="G717" s="55"/>
      <c r="H717" s="136">
        <f t="shared" si="22"/>
        <v>0</v>
      </c>
      <c r="I717" s="136">
        <f t="shared" si="23"/>
        <v>0</v>
      </c>
      <c r="J717" s="73"/>
    </row>
    <row r="718" spans="1:10" s="5" customFormat="1" hidden="1">
      <c r="A718" s="1069"/>
      <c r="B718" s="244"/>
      <c r="C718" s="383"/>
      <c r="D718" s="383"/>
      <c r="E718" s="383"/>
      <c r="F718" s="55"/>
      <c r="G718" s="55"/>
      <c r="H718" s="136">
        <f t="shared" si="22"/>
        <v>0</v>
      </c>
      <c r="I718" s="136">
        <f t="shared" si="23"/>
        <v>0</v>
      </c>
      <c r="J718" s="73"/>
    </row>
    <row r="719" spans="1:10" s="5" customFormat="1" hidden="1">
      <c r="A719" s="1069"/>
      <c r="B719" s="249"/>
      <c r="C719" s="430"/>
      <c r="D719" s="383"/>
      <c r="E719" s="383"/>
      <c r="F719" s="55"/>
      <c r="G719" s="55"/>
      <c r="H719" s="136">
        <f t="shared" si="22"/>
        <v>0</v>
      </c>
      <c r="I719" s="136">
        <f t="shared" si="23"/>
        <v>0</v>
      </c>
      <c r="J719" s="73"/>
    </row>
    <row r="720" spans="1:10" s="5" customFormat="1" hidden="1">
      <c r="A720" s="1069"/>
      <c r="B720" s="249"/>
      <c r="C720" s="430"/>
      <c r="D720" s="383"/>
      <c r="E720" s="383"/>
      <c r="F720" s="55"/>
      <c r="G720" s="55"/>
      <c r="H720" s="136">
        <f t="shared" si="22"/>
        <v>0</v>
      </c>
      <c r="I720" s="136">
        <f t="shared" si="23"/>
        <v>0</v>
      </c>
      <c r="J720" s="73"/>
    </row>
    <row r="721" spans="1:10" s="5" customFormat="1" hidden="1">
      <c r="A721" s="1069"/>
      <c r="B721" s="244"/>
      <c r="C721" s="430"/>
      <c r="D721" s="430"/>
      <c r="E721" s="430"/>
      <c r="F721" s="55"/>
      <c r="G721" s="55"/>
      <c r="H721" s="136">
        <f t="shared" si="22"/>
        <v>0</v>
      </c>
      <c r="I721" s="136">
        <f t="shared" si="23"/>
        <v>0</v>
      </c>
      <c r="J721" s="73"/>
    </row>
    <row r="722" spans="1:10" s="5" customFormat="1" hidden="1">
      <c r="A722" s="1069"/>
      <c r="B722" s="244"/>
      <c r="C722" s="430"/>
      <c r="D722" s="430"/>
      <c r="E722" s="430"/>
      <c r="F722" s="55"/>
      <c r="G722" s="55"/>
      <c r="H722" s="136">
        <f t="shared" si="22"/>
        <v>0</v>
      </c>
      <c r="I722" s="136">
        <f t="shared" si="23"/>
        <v>0</v>
      </c>
      <c r="J722" s="73"/>
    </row>
    <row r="723" spans="1:10" s="5" customFormat="1" hidden="1">
      <c r="A723" s="1069"/>
      <c r="B723" s="244"/>
      <c r="C723" s="430"/>
      <c r="D723" s="430"/>
      <c r="E723" s="430"/>
      <c r="F723" s="55"/>
      <c r="G723" s="55"/>
      <c r="H723" s="136">
        <f t="shared" si="22"/>
        <v>0</v>
      </c>
      <c r="I723" s="136">
        <f t="shared" si="23"/>
        <v>0</v>
      </c>
      <c r="J723" s="73"/>
    </row>
    <row r="724" spans="1:10" s="5" customFormat="1" hidden="1">
      <c r="A724" s="1069"/>
      <c r="B724" s="246"/>
      <c r="C724" s="431"/>
      <c r="D724" s="431"/>
      <c r="E724" s="432"/>
      <c r="F724" s="55"/>
      <c r="G724" s="55"/>
      <c r="H724" s="136">
        <f t="shared" si="22"/>
        <v>0</v>
      </c>
      <c r="I724" s="136">
        <f t="shared" si="23"/>
        <v>0</v>
      </c>
      <c r="J724" s="73"/>
    </row>
    <row r="725" spans="1:10" s="5" customFormat="1" hidden="1">
      <c r="A725" s="1069"/>
      <c r="B725" s="246"/>
      <c r="C725" s="431"/>
      <c r="D725" s="431"/>
      <c r="E725" s="432"/>
      <c r="F725" s="55"/>
      <c r="G725" s="55"/>
      <c r="H725" s="136">
        <f t="shared" si="22"/>
        <v>0</v>
      </c>
      <c r="I725" s="136">
        <f t="shared" si="23"/>
        <v>0</v>
      </c>
      <c r="J725" s="73"/>
    </row>
    <row r="726" spans="1:10" s="5" customFormat="1" hidden="1">
      <c r="A726" s="1069"/>
      <c r="B726" s="246"/>
      <c r="C726" s="431"/>
      <c r="D726" s="431"/>
      <c r="E726" s="432"/>
      <c r="F726" s="55"/>
      <c r="G726" s="55"/>
      <c r="H726" s="136">
        <f t="shared" si="22"/>
        <v>0</v>
      </c>
      <c r="I726" s="136">
        <f t="shared" si="23"/>
        <v>0</v>
      </c>
      <c r="J726" s="73"/>
    </row>
    <row r="727" spans="1:10" s="5" customFormat="1" hidden="1">
      <c r="A727" s="1069"/>
      <c r="B727" s="246"/>
      <c r="C727" s="431"/>
      <c r="D727" s="431"/>
      <c r="E727" s="432"/>
      <c r="F727" s="55"/>
      <c r="G727" s="55"/>
      <c r="H727" s="136">
        <f t="shared" si="22"/>
        <v>0</v>
      </c>
      <c r="I727" s="136">
        <f t="shared" si="23"/>
        <v>0</v>
      </c>
      <c r="J727" s="73"/>
    </row>
    <row r="728" spans="1:10" s="5" customFormat="1" hidden="1">
      <c r="A728" s="1069"/>
      <c r="B728" s="246"/>
      <c r="C728" s="431"/>
      <c r="D728" s="431"/>
      <c r="E728" s="432"/>
      <c r="F728" s="55"/>
      <c r="G728" s="55"/>
      <c r="H728" s="136">
        <f t="shared" si="22"/>
        <v>0</v>
      </c>
      <c r="I728" s="136">
        <f t="shared" si="23"/>
        <v>0</v>
      </c>
      <c r="J728" s="73"/>
    </row>
    <row r="729" spans="1:10" s="5" customFormat="1" hidden="1">
      <c r="A729" s="1069"/>
      <c r="B729" s="246"/>
      <c r="C729" s="431"/>
      <c r="D729" s="431"/>
      <c r="E729" s="432"/>
      <c r="F729" s="55"/>
      <c r="G729" s="55"/>
      <c r="H729" s="136">
        <f t="shared" si="22"/>
        <v>0</v>
      </c>
      <c r="I729" s="136">
        <f t="shared" si="23"/>
        <v>0</v>
      </c>
      <c r="J729" s="73"/>
    </row>
    <row r="730" spans="1:10" s="5" customFormat="1" hidden="1">
      <c r="A730" s="1069"/>
      <c r="B730" s="246"/>
      <c r="C730" s="431"/>
      <c r="D730" s="431"/>
      <c r="E730" s="432"/>
      <c r="F730" s="55"/>
      <c r="G730" s="55"/>
      <c r="H730" s="136">
        <f t="shared" si="22"/>
        <v>0</v>
      </c>
      <c r="I730" s="136">
        <f t="shared" si="23"/>
        <v>0</v>
      </c>
      <c r="J730" s="73"/>
    </row>
    <row r="731" spans="1:10" s="5" customFormat="1" hidden="1">
      <c r="A731" s="1069"/>
      <c r="B731" s="246"/>
      <c r="C731" s="431"/>
      <c r="D731" s="431"/>
      <c r="E731" s="432"/>
      <c r="F731" s="55"/>
      <c r="G731" s="55"/>
      <c r="H731" s="136">
        <f t="shared" si="22"/>
        <v>0</v>
      </c>
      <c r="I731" s="136">
        <f t="shared" si="23"/>
        <v>0</v>
      </c>
      <c r="J731" s="73"/>
    </row>
    <row r="732" spans="1:10" s="5" customFormat="1" hidden="1">
      <c r="A732" s="1069"/>
      <c r="B732" s="246"/>
      <c r="C732" s="431"/>
      <c r="D732" s="431"/>
      <c r="E732" s="432"/>
      <c r="F732" s="55"/>
      <c r="G732" s="55"/>
      <c r="H732" s="136">
        <f t="shared" si="22"/>
        <v>0</v>
      </c>
      <c r="I732" s="136">
        <f t="shared" si="23"/>
        <v>0</v>
      </c>
      <c r="J732" s="73"/>
    </row>
    <row r="733" spans="1:10" s="5" customFormat="1" hidden="1">
      <c r="A733" s="1069"/>
      <c r="B733" s="246"/>
      <c r="C733" s="431"/>
      <c r="D733" s="431"/>
      <c r="E733" s="432"/>
      <c r="F733" s="55"/>
      <c r="G733" s="55"/>
      <c r="H733" s="136">
        <f t="shared" si="22"/>
        <v>0</v>
      </c>
      <c r="I733" s="136">
        <f t="shared" si="23"/>
        <v>0</v>
      </c>
      <c r="J733" s="73"/>
    </row>
    <row r="734" spans="1:10" s="5" customFormat="1" hidden="1">
      <c r="A734" s="1069"/>
      <c r="B734" s="246"/>
      <c r="C734" s="431"/>
      <c r="D734" s="431"/>
      <c r="E734" s="432"/>
      <c r="F734" s="55"/>
      <c r="G734" s="55"/>
      <c r="H734" s="136">
        <f t="shared" si="22"/>
        <v>0</v>
      </c>
      <c r="I734" s="136">
        <f t="shared" si="23"/>
        <v>0</v>
      </c>
      <c r="J734" s="73"/>
    </row>
    <row r="735" spans="1:10" s="5" customFormat="1" hidden="1">
      <c r="A735" s="1069"/>
      <c r="B735" s="246"/>
      <c r="C735" s="431"/>
      <c r="D735" s="431"/>
      <c r="E735" s="432"/>
      <c r="F735" s="55"/>
      <c r="G735" s="55"/>
      <c r="H735" s="136">
        <f t="shared" si="22"/>
        <v>0</v>
      </c>
      <c r="I735" s="136">
        <f t="shared" si="23"/>
        <v>0</v>
      </c>
      <c r="J735" s="73"/>
    </row>
    <row r="736" spans="1:10" s="5" customFormat="1" hidden="1">
      <c r="A736" s="1069"/>
      <c r="B736" s="246"/>
      <c r="C736" s="434"/>
      <c r="D736" s="434"/>
      <c r="E736" s="435"/>
      <c r="F736" s="55"/>
      <c r="G736" s="55"/>
      <c r="H736" s="136">
        <f t="shared" si="22"/>
        <v>0</v>
      </c>
      <c r="I736" s="136">
        <f t="shared" si="23"/>
        <v>0</v>
      </c>
      <c r="J736" s="73"/>
    </row>
    <row r="737" spans="1:10" s="5" customFormat="1" hidden="1">
      <c r="A737" s="1069"/>
      <c r="B737" s="246"/>
      <c r="C737" s="434"/>
      <c r="D737" s="434"/>
      <c r="E737" s="435"/>
      <c r="F737" s="55"/>
      <c r="G737" s="55"/>
      <c r="H737" s="136">
        <f t="shared" si="22"/>
        <v>0</v>
      </c>
      <c r="I737" s="136">
        <f t="shared" si="23"/>
        <v>0</v>
      </c>
      <c r="J737" s="73"/>
    </row>
    <row r="738" spans="1:10" s="5" customFormat="1" hidden="1">
      <c r="A738" s="1069"/>
      <c r="B738" s="249"/>
      <c r="C738" s="433"/>
      <c r="D738" s="383"/>
      <c r="E738" s="383"/>
      <c r="F738" s="55"/>
      <c r="G738" s="55"/>
      <c r="H738" s="136">
        <f t="shared" si="22"/>
        <v>0</v>
      </c>
      <c r="I738" s="136">
        <f t="shared" si="23"/>
        <v>0</v>
      </c>
      <c r="J738" s="73"/>
    </row>
    <row r="739" spans="1:10" s="5" customFormat="1" hidden="1">
      <c r="A739" s="1069"/>
      <c r="B739" s="249"/>
      <c r="C739" s="433"/>
      <c r="D739" s="383"/>
      <c r="E739" s="383"/>
      <c r="F739" s="55"/>
      <c r="G739" s="55"/>
      <c r="H739" s="136">
        <f t="shared" si="22"/>
        <v>0</v>
      </c>
      <c r="I739" s="136">
        <f t="shared" si="23"/>
        <v>0</v>
      </c>
      <c r="J739" s="73"/>
    </row>
    <row r="740" spans="1:10" s="5" customFormat="1" hidden="1">
      <c r="A740" s="1069"/>
      <c r="B740" s="249"/>
      <c r="C740" s="433"/>
      <c r="D740" s="383"/>
      <c r="E740" s="383"/>
      <c r="F740" s="55"/>
      <c r="G740" s="55"/>
      <c r="H740" s="136">
        <f t="shared" si="22"/>
        <v>0</v>
      </c>
      <c r="I740" s="136">
        <f t="shared" si="23"/>
        <v>0</v>
      </c>
      <c r="J740" s="73"/>
    </row>
    <row r="741" spans="1:10" s="5" customFormat="1" hidden="1">
      <c r="A741" s="1069"/>
      <c r="B741" s="249"/>
      <c r="C741" s="433"/>
      <c r="D741" s="383"/>
      <c r="E741" s="383"/>
      <c r="F741" s="55"/>
      <c r="G741" s="55"/>
      <c r="H741" s="136">
        <f t="shared" si="22"/>
        <v>0</v>
      </c>
      <c r="I741" s="136">
        <f t="shared" si="23"/>
        <v>0</v>
      </c>
      <c r="J741" s="73"/>
    </row>
    <row r="742" spans="1:10" s="5" customFormat="1" hidden="1">
      <c r="A742" s="1069"/>
      <c r="B742" s="249"/>
      <c r="C742" s="433"/>
      <c r="D742" s="383"/>
      <c r="E742" s="383"/>
      <c r="F742" s="55"/>
      <c r="G742" s="55"/>
      <c r="H742" s="136">
        <f t="shared" si="22"/>
        <v>0</v>
      </c>
      <c r="I742" s="136">
        <f t="shared" si="23"/>
        <v>0</v>
      </c>
      <c r="J742" s="73"/>
    </row>
    <row r="743" spans="1:10" s="5" customFormat="1" hidden="1">
      <c r="A743" s="1069"/>
      <c r="B743" s="249"/>
      <c r="C743" s="433"/>
      <c r="D743" s="383"/>
      <c r="E743" s="383"/>
      <c r="F743" s="55"/>
      <c r="G743" s="55"/>
      <c r="H743" s="136">
        <f t="shared" si="22"/>
        <v>0</v>
      </c>
      <c r="I743" s="136">
        <f t="shared" si="23"/>
        <v>0</v>
      </c>
      <c r="J743" s="73"/>
    </row>
    <row r="744" spans="1:10" s="5" customFormat="1" hidden="1">
      <c r="A744" s="1069"/>
      <c r="B744" s="249"/>
      <c r="C744" s="433"/>
      <c r="D744" s="383"/>
      <c r="E744" s="383"/>
      <c r="F744" s="55"/>
      <c r="G744" s="55"/>
      <c r="H744" s="136">
        <f t="shared" si="22"/>
        <v>0</v>
      </c>
      <c r="I744" s="136">
        <f t="shared" si="23"/>
        <v>0</v>
      </c>
      <c r="J744" s="73"/>
    </row>
    <row r="745" spans="1:10" s="5" customFormat="1" hidden="1">
      <c r="A745" s="1069"/>
      <c r="B745" s="249"/>
      <c r="C745" s="433"/>
      <c r="D745" s="383"/>
      <c r="E745" s="383"/>
      <c r="F745" s="55"/>
      <c r="G745" s="55"/>
      <c r="H745" s="136">
        <f t="shared" si="22"/>
        <v>0</v>
      </c>
      <c r="I745" s="136">
        <f t="shared" si="23"/>
        <v>0</v>
      </c>
      <c r="J745" s="73"/>
    </row>
    <row r="746" spans="1:10" s="5" customFormat="1" hidden="1">
      <c r="A746" s="1069"/>
      <c r="B746" s="249"/>
      <c r="C746" s="433"/>
      <c r="D746" s="383"/>
      <c r="E746" s="383"/>
      <c r="F746" s="55"/>
      <c r="G746" s="55"/>
      <c r="H746" s="136">
        <f t="shared" si="22"/>
        <v>0</v>
      </c>
      <c r="I746" s="136">
        <f t="shared" si="23"/>
        <v>0</v>
      </c>
      <c r="J746" s="73"/>
    </row>
    <row r="747" spans="1:10" s="5" customFormat="1" hidden="1">
      <c r="A747" s="1069"/>
      <c r="B747" s="249"/>
      <c r="C747" s="433"/>
      <c r="D747" s="383"/>
      <c r="E747" s="383"/>
      <c r="F747" s="55"/>
      <c r="G747" s="55"/>
      <c r="H747" s="136">
        <f t="shared" si="22"/>
        <v>0</v>
      </c>
      <c r="I747" s="136">
        <f t="shared" si="23"/>
        <v>0</v>
      </c>
      <c r="J747" s="73"/>
    </row>
    <row r="748" spans="1:10">
      <c r="A748" s="1068"/>
      <c r="B748" s="461" t="s">
        <v>253</v>
      </c>
      <c r="C748" s="470">
        <f>SUM(C704:C747)</f>
        <v>136300</v>
      </c>
      <c r="D748" s="470">
        <f>SUM(D704:D747)</f>
        <v>0</v>
      </c>
      <c r="E748" s="470">
        <f>SUM(E704:E747)</f>
        <v>136300</v>
      </c>
      <c r="F748" s="75">
        <f>SUM(F704:F719)</f>
        <v>0</v>
      </c>
      <c r="G748" s="75">
        <f>SUM(G704:G719)</f>
        <v>0</v>
      </c>
      <c r="H748" s="459">
        <f t="shared" si="22"/>
        <v>0</v>
      </c>
      <c r="I748" s="459">
        <f t="shared" si="23"/>
        <v>272600</v>
      </c>
      <c r="J748" s="460"/>
    </row>
    <row r="749" spans="1:10" ht="93.75">
      <c r="A749" s="1070" t="s">
        <v>315</v>
      </c>
      <c r="B749" s="310" t="s">
        <v>1052</v>
      </c>
      <c r="C749" s="469">
        <v>15500</v>
      </c>
      <c r="D749" s="469">
        <f>15500-15500</f>
        <v>0</v>
      </c>
      <c r="E749" s="469">
        <v>15500</v>
      </c>
      <c r="F749" s="153"/>
      <c r="G749" s="153"/>
      <c r="H749" s="459">
        <f t="shared" si="22"/>
        <v>0</v>
      </c>
      <c r="I749" s="459">
        <f t="shared" si="23"/>
        <v>31000</v>
      </c>
      <c r="J749" s="460"/>
    </row>
    <row r="750" spans="1:10" ht="150">
      <c r="A750" s="1071"/>
      <c r="B750" s="310" t="s">
        <v>1046</v>
      </c>
      <c r="C750" s="469">
        <v>10000</v>
      </c>
      <c r="D750" s="469">
        <v>10000</v>
      </c>
      <c r="E750" s="469"/>
      <c r="F750" s="153"/>
      <c r="G750" s="153"/>
      <c r="H750" s="459">
        <f t="shared" si="22"/>
        <v>0</v>
      </c>
      <c r="I750" s="459">
        <f t="shared" si="23"/>
        <v>20000</v>
      </c>
      <c r="J750" s="460"/>
    </row>
    <row r="751" spans="1:10" ht="131.25">
      <c r="A751" s="1071"/>
      <c r="B751" s="310" t="s">
        <v>1681</v>
      </c>
      <c r="C751" s="456">
        <v>72310</v>
      </c>
      <c r="D751" s="456"/>
      <c r="E751" s="456">
        <v>72310</v>
      </c>
      <c r="F751" s="153"/>
      <c r="G751" s="153"/>
      <c r="H751" s="459">
        <f t="shared" si="22"/>
        <v>0</v>
      </c>
      <c r="I751" s="459">
        <f t="shared" si="23"/>
        <v>144620</v>
      </c>
      <c r="J751" s="460"/>
    </row>
    <row r="752" spans="1:10" s="5" customFormat="1" hidden="1">
      <c r="A752" s="1072"/>
      <c r="B752" s="243"/>
      <c r="C752" s="430"/>
      <c r="D752" s="430"/>
      <c r="E752" s="430"/>
      <c r="F752" s="153"/>
      <c r="G752" s="153"/>
      <c r="H752" s="136">
        <f t="shared" si="22"/>
        <v>0</v>
      </c>
      <c r="I752" s="136">
        <f t="shared" si="23"/>
        <v>0</v>
      </c>
      <c r="J752" s="73"/>
    </row>
    <row r="753" spans="1:10" s="5" customFormat="1" hidden="1">
      <c r="A753" s="1072"/>
      <c r="B753" s="243"/>
      <c r="C753" s="430"/>
      <c r="D753" s="430"/>
      <c r="E753" s="430"/>
      <c r="F753" s="153"/>
      <c r="G753" s="153"/>
      <c r="H753" s="136">
        <f t="shared" si="22"/>
        <v>0</v>
      </c>
      <c r="I753" s="136">
        <f t="shared" si="23"/>
        <v>0</v>
      </c>
      <c r="J753" s="73"/>
    </row>
    <row r="754" spans="1:10" s="5" customFormat="1" hidden="1">
      <c r="A754" s="1072"/>
      <c r="B754" s="243"/>
      <c r="C754" s="430"/>
      <c r="D754" s="430"/>
      <c r="E754" s="430"/>
      <c r="F754" s="153"/>
      <c r="G754" s="153"/>
      <c r="H754" s="136">
        <f t="shared" si="22"/>
        <v>0</v>
      </c>
      <c r="I754" s="136">
        <f t="shared" si="23"/>
        <v>0</v>
      </c>
      <c r="J754" s="73"/>
    </row>
    <row r="755" spans="1:10" s="5" customFormat="1" hidden="1">
      <c r="A755" s="1072"/>
      <c r="B755" s="243"/>
      <c r="C755" s="430"/>
      <c r="D755" s="430"/>
      <c r="E755" s="430"/>
      <c r="F755" s="153"/>
      <c r="G755" s="153"/>
      <c r="H755" s="136">
        <f t="shared" si="22"/>
        <v>0</v>
      </c>
      <c r="I755" s="136">
        <f t="shared" si="23"/>
        <v>0</v>
      </c>
      <c r="J755" s="73"/>
    </row>
    <row r="756" spans="1:10" s="5" customFormat="1" hidden="1">
      <c r="A756" s="1072"/>
      <c r="B756" s="243"/>
      <c r="C756" s="430"/>
      <c r="D756" s="430"/>
      <c r="E756" s="430"/>
      <c r="F756" s="153"/>
      <c r="G756" s="153"/>
      <c r="H756" s="136">
        <f t="shared" si="22"/>
        <v>0</v>
      </c>
      <c r="I756" s="136">
        <f t="shared" si="23"/>
        <v>0</v>
      </c>
      <c r="J756" s="73"/>
    </row>
    <row r="757" spans="1:10" s="5" customFormat="1" hidden="1">
      <c r="A757" s="1072"/>
      <c r="B757" s="243"/>
      <c r="C757" s="430"/>
      <c r="D757" s="430"/>
      <c r="E757" s="430"/>
      <c r="F757" s="153"/>
      <c r="G757" s="153"/>
      <c r="H757" s="136">
        <f t="shared" si="22"/>
        <v>0</v>
      </c>
      <c r="I757" s="136">
        <f t="shared" si="23"/>
        <v>0</v>
      </c>
      <c r="J757" s="73"/>
    </row>
    <row r="758" spans="1:10" s="5" customFormat="1" hidden="1">
      <c r="A758" s="1072"/>
      <c r="B758" s="243"/>
      <c r="C758" s="430"/>
      <c r="D758" s="430"/>
      <c r="E758" s="430"/>
      <c r="F758" s="153"/>
      <c r="G758" s="153"/>
      <c r="H758" s="136">
        <f t="shared" si="22"/>
        <v>0</v>
      </c>
      <c r="I758" s="136">
        <f t="shared" si="23"/>
        <v>0</v>
      </c>
      <c r="J758" s="73"/>
    </row>
    <row r="759" spans="1:10" s="5" customFormat="1" hidden="1">
      <c r="A759" s="1072"/>
      <c r="B759" s="243"/>
      <c r="C759" s="430"/>
      <c r="D759" s="430"/>
      <c r="E759" s="430"/>
      <c r="F759" s="153"/>
      <c r="G759" s="153"/>
      <c r="H759" s="136">
        <f t="shared" si="22"/>
        <v>0</v>
      </c>
      <c r="I759" s="136">
        <f t="shared" si="23"/>
        <v>0</v>
      </c>
      <c r="J759" s="73"/>
    </row>
    <row r="760" spans="1:10" s="5" customFormat="1" hidden="1">
      <c r="A760" s="1072"/>
      <c r="B760" s="243"/>
      <c r="C760" s="430"/>
      <c r="D760" s="430"/>
      <c r="E760" s="430"/>
      <c r="F760" s="153"/>
      <c r="G760" s="153"/>
      <c r="H760" s="136">
        <f t="shared" si="22"/>
        <v>0</v>
      </c>
      <c r="I760" s="136">
        <f t="shared" si="23"/>
        <v>0</v>
      </c>
      <c r="J760" s="73"/>
    </row>
    <row r="761" spans="1:10" s="5" customFormat="1" hidden="1">
      <c r="A761" s="1072"/>
      <c r="B761" s="243"/>
      <c r="C761" s="430"/>
      <c r="D761" s="430"/>
      <c r="E761" s="430"/>
      <c r="F761" s="153"/>
      <c r="G761" s="153"/>
      <c r="H761" s="136">
        <f t="shared" si="22"/>
        <v>0</v>
      </c>
      <c r="I761" s="136">
        <f t="shared" si="23"/>
        <v>0</v>
      </c>
      <c r="J761" s="73"/>
    </row>
    <row r="762" spans="1:10" s="5" customFormat="1" hidden="1">
      <c r="A762" s="1072"/>
      <c r="B762" s="243"/>
      <c r="C762" s="430"/>
      <c r="D762" s="430"/>
      <c r="E762" s="430"/>
      <c r="F762" s="153"/>
      <c r="G762" s="153"/>
      <c r="H762" s="136">
        <f t="shared" si="22"/>
        <v>0</v>
      </c>
      <c r="I762" s="136">
        <f t="shared" si="23"/>
        <v>0</v>
      </c>
      <c r="J762" s="73"/>
    </row>
    <row r="763" spans="1:10" s="5" customFormat="1" hidden="1">
      <c r="A763" s="1072"/>
      <c r="B763" s="243"/>
      <c r="C763" s="430"/>
      <c r="D763" s="430"/>
      <c r="E763" s="430"/>
      <c r="F763" s="153"/>
      <c r="G763" s="153"/>
      <c r="H763" s="136">
        <f t="shared" si="22"/>
        <v>0</v>
      </c>
      <c r="I763" s="136">
        <f t="shared" si="23"/>
        <v>0</v>
      </c>
      <c r="J763" s="73"/>
    </row>
    <row r="764" spans="1:10" s="5" customFormat="1" hidden="1">
      <c r="A764" s="1072"/>
      <c r="B764" s="243"/>
      <c r="C764" s="430"/>
      <c r="D764" s="430"/>
      <c r="E764" s="430"/>
      <c r="F764" s="153"/>
      <c r="G764" s="153"/>
      <c r="H764" s="136">
        <f t="shared" si="22"/>
        <v>0</v>
      </c>
      <c r="I764" s="136">
        <f t="shared" si="23"/>
        <v>0</v>
      </c>
      <c r="J764" s="73"/>
    </row>
    <row r="765" spans="1:10" s="5" customFormat="1" hidden="1">
      <c r="A765" s="1072"/>
      <c r="B765" s="243"/>
      <c r="C765" s="430"/>
      <c r="D765" s="430"/>
      <c r="E765" s="430"/>
      <c r="F765" s="153"/>
      <c r="G765" s="153"/>
      <c r="H765" s="136">
        <f t="shared" si="22"/>
        <v>0</v>
      </c>
      <c r="I765" s="136">
        <f t="shared" si="23"/>
        <v>0</v>
      </c>
      <c r="J765" s="73"/>
    </row>
    <row r="766" spans="1:10" s="5" customFormat="1" hidden="1">
      <c r="A766" s="1072"/>
      <c r="B766" s="243"/>
      <c r="C766" s="430"/>
      <c r="D766" s="430"/>
      <c r="E766" s="430"/>
      <c r="F766" s="153"/>
      <c r="G766" s="153"/>
      <c r="H766" s="136">
        <f t="shared" si="22"/>
        <v>0</v>
      </c>
      <c r="I766" s="136">
        <f t="shared" si="23"/>
        <v>0</v>
      </c>
      <c r="J766" s="73"/>
    </row>
    <row r="767" spans="1:10" s="5" customFormat="1" hidden="1">
      <c r="A767" s="1072"/>
      <c r="B767" s="243"/>
      <c r="C767" s="430"/>
      <c r="D767" s="430"/>
      <c r="E767" s="430"/>
      <c r="F767" s="153"/>
      <c r="G767" s="153"/>
      <c r="H767" s="136">
        <f t="shared" si="22"/>
        <v>0</v>
      </c>
      <c r="I767" s="136">
        <f t="shared" si="23"/>
        <v>0</v>
      </c>
      <c r="J767" s="73"/>
    </row>
    <row r="768" spans="1:10" s="5" customFormat="1" hidden="1">
      <c r="A768" s="1072"/>
      <c r="B768" s="243"/>
      <c r="C768" s="430"/>
      <c r="D768" s="430"/>
      <c r="E768" s="430"/>
      <c r="F768" s="153"/>
      <c r="G768" s="153"/>
      <c r="H768" s="136">
        <f t="shared" si="22"/>
        <v>0</v>
      </c>
      <c r="I768" s="136">
        <f t="shared" si="23"/>
        <v>0</v>
      </c>
      <c r="J768" s="73"/>
    </row>
    <row r="769" spans="1:10" s="5" customFormat="1" hidden="1">
      <c r="A769" s="1072"/>
      <c r="B769" s="243"/>
      <c r="C769" s="430"/>
      <c r="D769" s="430"/>
      <c r="E769" s="430"/>
      <c r="F769" s="153"/>
      <c r="G769" s="153"/>
      <c r="H769" s="136">
        <f t="shared" si="22"/>
        <v>0</v>
      </c>
      <c r="I769" s="136">
        <f t="shared" si="23"/>
        <v>0</v>
      </c>
      <c r="J769" s="73"/>
    </row>
    <row r="770" spans="1:10" s="5" customFormat="1" hidden="1">
      <c r="A770" s="1072"/>
      <c r="B770" s="243"/>
      <c r="C770" s="430"/>
      <c r="D770" s="430"/>
      <c r="E770" s="430"/>
      <c r="F770" s="153"/>
      <c r="G770" s="153"/>
      <c r="H770" s="136">
        <f t="shared" si="22"/>
        <v>0</v>
      </c>
      <c r="I770" s="136">
        <f t="shared" si="23"/>
        <v>0</v>
      </c>
      <c r="J770" s="73"/>
    </row>
    <row r="771" spans="1:10" s="5" customFormat="1" hidden="1">
      <c r="A771" s="1072"/>
      <c r="B771" s="243"/>
      <c r="C771" s="430"/>
      <c r="D771" s="430"/>
      <c r="E771" s="430"/>
      <c r="F771" s="153"/>
      <c r="G771" s="153"/>
      <c r="H771" s="136">
        <f t="shared" si="22"/>
        <v>0</v>
      </c>
      <c r="I771" s="136">
        <f t="shared" si="23"/>
        <v>0</v>
      </c>
      <c r="J771" s="73"/>
    </row>
    <row r="772" spans="1:10" s="5" customFormat="1" hidden="1">
      <c r="A772" s="1072"/>
      <c r="B772" s="243"/>
      <c r="C772" s="430"/>
      <c r="D772" s="430"/>
      <c r="E772" s="430"/>
      <c r="F772" s="153"/>
      <c r="G772" s="153"/>
      <c r="H772" s="136">
        <f t="shared" si="22"/>
        <v>0</v>
      </c>
      <c r="I772" s="136">
        <f t="shared" si="23"/>
        <v>0</v>
      </c>
      <c r="J772" s="73"/>
    </row>
    <row r="773" spans="1:10" s="5" customFormat="1" hidden="1">
      <c r="A773" s="1072"/>
      <c r="B773" s="243"/>
      <c r="C773" s="430"/>
      <c r="D773" s="430"/>
      <c r="E773" s="430"/>
      <c r="F773" s="153"/>
      <c r="G773" s="153"/>
      <c r="H773" s="136">
        <f t="shared" si="22"/>
        <v>0</v>
      </c>
      <c r="I773" s="136">
        <f t="shared" si="23"/>
        <v>0</v>
      </c>
      <c r="J773" s="73"/>
    </row>
    <row r="774" spans="1:10" s="5" customFormat="1" hidden="1">
      <c r="A774" s="1072"/>
      <c r="B774" s="243"/>
      <c r="C774" s="430"/>
      <c r="D774" s="430"/>
      <c r="E774" s="430"/>
      <c r="F774" s="153"/>
      <c r="G774" s="153"/>
      <c r="H774" s="136">
        <f t="shared" si="22"/>
        <v>0</v>
      </c>
      <c r="I774" s="136">
        <f t="shared" si="23"/>
        <v>0</v>
      </c>
      <c r="J774" s="73"/>
    </row>
    <row r="775" spans="1:10" s="5" customFormat="1" hidden="1">
      <c r="A775" s="1072"/>
      <c r="B775" s="243"/>
      <c r="C775" s="430"/>
      <c r="D775" s="430"/>
      <c r="E775" s="430"/>
      <c r="F775" s="153"/>
      <c r="G775" s="153"/>
      <c r="H775" s="136">
        <f t="shared" si="22"/>
        <v>0</v>
      </c>
      <c r="I775" s="136">
        <f t="shared" si="23"/>
        <v>0</v>
      </c>
      <c r="J775" s="73"/>
    </row>
    <row r="776" spans="1:10" s="5" customFormat="1" hidden="1">
      <c r="A776" s="1072"/>
      <c r="B776" s="243"/>
      <c r="C776" s="430"/>
      <c r="D776" s="430"/>
      <c r="E776" s="430"/>
      <c r="F776" s="153"/>
      <c r="G776" s="153"/>
      <c r="H776" s="136">
        <f t="shared" si="22"/>
        <v>0</v>
      </c>
      <c r="I776" s="136">
        <f t="shared" si="23"/>
        <v>0</v>
      </c>
      <c r="J776" s="73"/>
    </row>
    <row r="777" spans="1:10" s="5" customFormat="1" hidden="1">
      <c r="A777" s="1072"/>
      <c r="B777" s="243"/>
      <c r="C777" s="430"/>
      <c r="D777" s="430"/>
      <c r="E777" s="430"/>
      <c r="F777" s="153"/>
      <c r="G777" s="153"/>
      <c r="H777" s="136">
        <f t="shared" ref="H777:H840" si="24">E777+D777-C777</f>
        <v>0</v>
      </c>
      <c r="I777" s="136">
        <f t="shared" ref="I777:I840" si="25">SUM(C777:E777)</f>
        <v>0</v>
      </c>
      <c r="J777" s="73"/>
    </row>
    <row r="778" spans="1:10" s="5" customFormat="1" hidden="1">
      <c r="A778" s="1072"/>
      <c r="B778" s="243"/>
      <c r="C778" s="430"/>
      <c r="D778" s="430"/>
      <c r="E778" s="430"/>
      <c r="F778" s="153"/>
      <c r="G778" s="153"/>
      <c r="H778" s="136">
        <f t="shared" si="24"/>
        <v>0</v>
      </c>
      <c r="I778" s="136">
        <f t="shared" si="25"/>
        <v>0</v>
      </c>
      <c r="J778" s="73"/>
    </row>
    <row r="779" spans="1:10" s="5" customFormat="1" hidden="1">
      <c r="A779" s="1072"/>
      <c r="B779" s="243"/>
      <c r="C779" s="430"/>
      <c r="D779" s="430"/>
      <c r="E779" s="430"/>
      <c r="F779" s="153"/>
      <c r="G779" s="153"/>
      <c r="H779" s="136">
        <f t="shared" si="24"/>
        <v>0</v>
      </c>
      <c r="I779" s="136">
        <f t="shared" si="25"/>
        <v>0</v>
      </c>
      <c r="J779" s="73"/>
    </row>
    <row r="780" spans="1:10" s="5" customFormat="1" hidden="1">
      <c r="A780" s="1072"/>
      <c r="B780" s="243"/>
      <c r="C780" s="430"/>
      <c r="D780" s="430"/>
      <c r="E780" s="430"/>
      <c r="F780" s="153"/>
      <c r="G780" s="153"/>
      <c r="H780" s="136">
        <f t="shared" si="24"/>
        <v>0</v>
      </c>
      <c r="I780" s="136">
        <f t="shared" si="25"/>
        <v>0</v>
      </c>
      <c r="J780" s="73"/>
    </row>
    <row r="781" spans="1:10" s="5" customFormat="1" hidden="1">
      <c r="A781" s="1072"/>
      <c r="B781" s="243"/>
      <c r="C781" s="430"/>
      <c r="D781" s="430"/>
      <c r="E781" s="430"/>
      <c r="F781" s="153"/>
      <c r="G781" s="153"/>
      <c r="H781" s="136">
        <f t="shared" si="24"/>
        <v>0</v>
      </c>
      <c r="I781" s="136">
        <f t="shared" si="25"/>
        <v>0</v>
      </c>
      <c r="J781" s="73"/>
    </row>
    <row r="782" spans="1:10" s="5" customFormat="1" hidden="1">
      <c r="A782" s="1072"/>
      <c r="B782" s="243"/>
      <c r="C782" s="430"/>
      <c r="D782" s="430"/>
      <c r="E782" s="430"/>
      <c r="F782" s="153"/>
      <c r="G782" s="153"/>
      <c r="H782" s="136">
        <f t="shared" si="24"/>
        <v>0</v>
      </c>
      <c r="I782" s="136">
        <f t="shared" si="25"/>
        <v>0</v>
      </c>
      <c r="J782" s="73"/>
    </row>
    <row r="783" spans="1:10" s="5" customFormat="1" hidden="1">
      <c r="A783" s="1072"/>
      <c r="B783" s="243"/>
      <c r="C783" s="430"/>
      <c r="D783" s="430"/>
      <c r="E783" s="430"/>
      <c r="F783" s="153"/>
      <c r="G783" s="153"/>
      <c r="H783" s="136">
        <f t="shared" si="24"/>
        <v>0</v>
      </c>
      <c r="I783" s="136">
        <f t="shared" si="25"/>
        <v>0</v>
      </c>
      <c r="J783" s="73"/>
    </row>
    <row r="784" spans="1:10" s="5" customFormat="1" hidden="1">
      <c r="A784" s="1072"/>
      <c r="B784" s="243"/>
      <c r="C784" s="430"/>
      <c r="D784" s="430"/>
      <c r="E784" s="430"/>
      <c r="F784" s="153"/>
      <c r="G784" s="153"/>
      <c r="H784" s="136">
        <f t="shared" si="24"/>
        <v>0</v>
      </c>
      <c r="I784" s="136">
        <f t="shared" si="25"/>
        <v>0</v>
      </c>
      <c r="J784" s="73"/>
    </row>
    <row r="785" spans="1:10" s="5" customFormat="1" hidden="1">
      <c r="A785" s="1072"/>
      <c r="B785" s="243"/>
      <c r="C785" s="430"/>
      <c r="D785" s="430"/>
      <c r="E785" s="430"/>
      <c r="F785" s="153"/>
      <c r="G785" s="153"/>
      <c r="H785" s="136">
        <f t="shared" si="24"/>
        <v>0</v>
      </c>
      <c r="I785" s="136">
        <f t="shared" si="25"/>
        <v>0</v>
      </c>
      <c r="J785" s="73"/>
    </row>
    <row r="786" spans="1:10">
      <c r="A786" s="1073"/>
      <c r="B786" s="461" t="s">
        <v>253</v>
      </c>
      <c r="C786" s="462">
        <f>SUM(C749:C785)</f>
        <v>97810</v>
      </c>
      <c r="D786" s="462">
        <f>SUM(D749:D785)</f>
        <v>10000</v>
      </c>
      <c r="E786" s="462">
        <f>SUM(E749:E785)</f>
        <v>87810</v>
      </c>
      <c r="F786" s="153"/>
      <c r="G786" s="153"/>
      <c r="H786" s="459">
        <f t="shared" si="24"/>
        <v>0</v>
      </c>
      <c r="I786" s="459">
        <f t="shared" si="25"/>
        <v>195620</v>
      </c>
      <c r="J786" s="460"/>
    </row>
    <row r="787" spans="1:10" ht="93.75">
      <c r="A787" s="1068" t="s">
        <v>316</v>
      </c>
      <c r="B787" s="310" t="s">
        <v>1821</v>
      </c>
      <c r="C787" s="453">
        <v>40700</v>
      </c>
      <c r="D787" s="453"/>
      <c r="E787" s="453">
        <v>40700</v>
      </c>
      <c r="F787" s="136"/>
      <c r="G787" s="136"/>
      <c r="H787" s="459">
        <f t="shared" si="24"/>
        <v>0</v>
      </c>
      <c r="I787" s="459">
        <f t="shared" si="25"/>
        <v>81400</v>
      </c>
      <c r="J787" s="460"/>
    </row>
    <row r="788" spans="1:10" ht="131.25">
      <c r="A788" s="1068"/>
      <c r="B788" s="310" t="s">
        <v>1681</v>
      </c>
      <c r="C788" s="454">
        <v>164340</v>
      </c>
      <c r="D788" s="454"/>
      <c r="E788" s="454">
        <v>164340</v>
      </c>
      <c r="F788" s="136"/>
      <c r="G788" s="136"/>
      <c r="H788" s="459">
        <f t="shared" si="24"/>
        <v>0</v>
      </c>
      <c r="I788" s="459">
        <f t="shared" si="25"/>
        <v>328680</v>
      </c>
      <c r="J788" s="460"/>
    </row>
    <row r="789" spans="1:10" ht="112.5">
      <c r="A789" s="1068"/>
      <c r="B789" s="310" t="s">
        <v>2429</v>
      </c>
      <c r="C789" s="473">
        <v>200000</v>
      </c>
      <c r="D789" s="473">
        <v>200000</v>
      </c>
      <c r="E789" s="473"/>
      <c r="F789" s="136">
        <v>0</v>
      </c>
      <c r="G789" s="136">
        <v>161690.4</v>
      </c>
      <c r="H789" s="459">
        <f t="shared" si="24"/>
        <v>0</v>
      </c>
      <c r="I789" s="459">
        <f t="shared" si="25"/>
        <v>400000</v>
      </c>
      <c r="J789" s="460"/>
    </row>
    <row r="790" spans="1:10" s="5" customFormat="1" ht="18" hidden="1" customHeight="1">
      <c r="A790" s="1069"/>
      <c r="B790" s="244"/>
      <c r="C790" s="383"/>
      <c r="D790" s="383"/>
      <c r="E790" s="430"/>
      <c r="F790" s="55"/>
      <c r="G790" s="55"/>
      <c r="H790" s="136">
        <f t="shared" si="24"/>
        <v>0</v>
      </c>
      <c r="I790" s="136">
        <f t="shared" si="25"/>
        <v>0</v>
      </c>
      <c r="J790" s="73"/>
    </row>
    <row r="791" spans="1:10" s="5" customFormat="1" ht="18" hidden="1" customHeight="1">
      <c r="A791" s="1069"/>
      <c r="B791" s="244"/>
      <c r="C791" s="383"/>
      <c r="D791" s="383"/>
      <c r="E791" s="430"/>
      <c r="F791" s="55"/>
      <c r="G791" s="55"/>
      <c r="H791" s="136">
        <f t="shared" si="24"/>
        <v>0</v>
      </c>
      <c r="I791" s="136">
        <f t="shared" si="25"/>
        <v>0</v>
      </c>
      <c r="J791" s="73"/>
    </row>
    <row r="792" spans="1:10" s="5" customFormat="1" ht="18" hidden="1" customHeight="1">
      <c r="A792" s="1069"/>
      <c r="B792" s="244"/>
      <c r="C792" s="383"/>
      <c r="D792" s="383"/>
      <c r="E792" s="430"/>
      <c r="F792" s="55"/>
      <c r="G792" s="55"/>
      <c r="H792" s="136">
        <f t="shared" si="24"/>
        <v>0</v>
      </c>
      <c r="I792" s="136">
        <f t="shared" si="25"/>
        <v>0</v>
      </c>
      <c r="J792" s="73"/>
    </row>
    <row r="793" spans="1:10" s="5" customFormat="1" ht="18" hidden="1" customHeight="1">
      <c r="A793" s="1069"/>
      <c r="B793" s="244"/>
      <c r="C793" s="383"/>
      <c r="D793" s="383"/>
      <c r="E793" s="430"/>
      <c r="F793" s="55"/>
      <c r="G793" s="55"/>
      <c r="H793" s="136">
        <f t="shared" si="24"/>
        <v>0</v>
      </c>
      <c r="I793" s="136">
        <f t="shared" si="25"/>
        <v>0</v>
      </c>
      <c r="J793" s="73"/>
    </row>
    <row r="794" spans="1:10" s="5" customFormat="1" ht="18" hidden="1" customHeight="1">
      <c r="A794" s="1069"/>
      <c r="B794" s="244"/>
      <c r="C794" s="383"/>
      <c r="D794" s="383"/>
      <c r="E794" s="430"/>
      <c r="F794" s="55"/>
      <c r="G794" s="55"/>
      <c r="H794" s="136">
        <f t="shared" si="24"/>
        <v>0</v>
      </c>
      <c r="I794" s="136">
        <f t="shared" si="25"/>
        <v>0</v>
      </c>
      <c r="J794" s="73"/>
    </row>
    <row r="795" spans="1:10" s="5" customFormat="1" ht="18" hidden="1" customHeight="1">
      <c r="A795" s="1069"/>
      <c r="B795" s="244"/>
      <c r="C795" s="383"/>
      <c r="D795" s="383"/>
      <c r="E795" s="430"/>
      <c r="F795" s="55"/>
      <c r="G795" s="55"/>
      <c r="H795" s="136">
        <f t="shared" si="24"/>
        <v>0</v>
      </c>
      <c r="I795" s="136">
        <f t="shared" si="25"/>
        <v>0</v>
      </c>
      <c r="J795" s="73"/>
    </row>
    <row r="796" spans="1:10" s="5" customFormat="1" ht="18" hidden="1" customHeight="1">
      <c r="A796" s="1069"/>
      <c r="B796" s="244"/>
      <c r="C796" s="383"/>
      <c r="D796" s="383"/>
      <c r="E796" s="430"/>
      <c r="F796" s="55"/>
      <c r="G796" s="55"/>
      <c r="H796" s="136">
        <f t="shared" si="24"/>
        <v>0</v>
      </c>
      <c r="I796" s="136">
        <f t="shared" si="25"/>
        <v>0</v>
      </c>
      <c r="J796" s="73"/>
    </row>
    <row r="797" spans="1:10" s="5" customFormat="1" ht="18" hidden="1" customHeight="1">
      <c r="A797" s="1069"/>
      <c r="B797" s="244"/>
      <c r="C797" s="383"/>
      <c r="D797" s="383"/>
      <c r="E797" s="430"/>
      <c r="F797" s="55"/>
      <c r="G797" s="55"/>
      <c r="H797" s="136">
        <f t="shared" si="24"/>
        <v>0</v>
      </c>
      <c r="I797" s="136">
        <f t="shared" si="25"/>
        <v>0</v>
      </c>
      <c r="J797" s="73"/>
    </row>
    <row r="798" spans="1:10" s="5" customFormat="1" ht="18" hidden="1" customHeight="1">
      <c r="A798" s="1069"/>
      <c r="B798" s="244"/>
      <c r="C798" s="383"/>
      <c r="D798" s="383"/>
      <c r="E798" s="430"/>
      <c r="F798" s="55"/>
      <c r="G798" s="55"/>
      <c r="H798" s="136">
        <f t="shared" si="24"/>
        <v>0</v>
      </c>
      <c r="I798" s="136">
        <f t="shared" si="25"/>
        <v>0</v>
      </c>
      <c r="J798" s="73"/>
    </row>
    <row r="799" spans="1:10" s="5" customFormat="1" ht="18" hidden="1" customHeight="1">
      <c r="A799" s="1069"/>
      <c r="B799" s="244"/>
      <c r="C799" s="383"/>
      <c r="D799" s="383"/>
      <c r="E799" s="430"/>
      <c r="F799" s="55"/>
      <c r="G799" s="55"/>
      <c r="H799" s="136">
        <f t="shared" si="24"/>
        <v>0</v>
      </c>
      <c r="I799" s="136">
        <f t="shared" si="25"/>
        <v>0</v>
      </c>
      <c r="J799" s="73"/>
    </row>
    <row r="800" spans="1:10" s="5" customFormat="1" ht="18" hidden="1" customHeight="1">
      <c r="A800" s="1069"/>
      <c r="B800" s="244"/>
      <c r="C800" s="383"/>
      <c r="D800" s="383"/>
      <c r="E800" s="430"/>
      <c r="F800" s="55"/>
      <c r="G800" s="55"/>
      <c r="H800" s="136">
        <f t="shared" si="24"/>
        <v>0</v>
      </c>
      <c r="I800" s="136">
        <f t="shared" si="25"/>
        <v>0</v>
      </c>
      <c r="J800" s="73"/>
    </row>
    <row r="801" spans="1:10" s="5" customFormat="1" ht="18" hidden="1" customHeight="1">
      <c r="A801" s="1069"/>
      <c r="B801" s="244"/>
      <c r="C801" s="383"/>
      <c r="D801" s="383"/>
      <c r="E801" s="430"/>
      <c r="F801" s="55"/>
      <c r="G801" s="55"/>
      <c r="H801" s="136">
        <f t="shared" si="24"/>
        <v>0</v>
      </c>
      <c r="I801" s="136">
        <f t="shared" si="25"/>
        <v>0</v>
      </c>
      <c r="J801" s="73"/>
    </row>
    <row r="802" spans="1:10" s="5" customFormat="1" ht="18" hidden="1" customHeight="1">
      <c r="A802" s="1069"/>
      <c r="B802" s="244"/>
      <c r="C802" s="383"/>
      <c r="D802" s="383"/>
      <c r="E802" s="430"/>
      <c r="F802" s="55"/>
      <c r="G802" s="55"/>
      <c r="H802" s="136">
        <f t="shared" si="24"/>
        <v>0</v>
      </c>
      <c r="I802" s="136">
        <f t="shared" si="25"/>
        <v>0</v>
      </c>
      <c r="J802" s="73"/>
    </row>
    <row r="803" spans="1:10" s="5" customFormat="1" ht="18" hidden="1" customHeight="1">
      <c r="A803" s="1069"/>
      <c r="B803" s="244"/>
      <c r="C803" s="383"/>
      <c r="D803" s="383"/>
      <c r="E803" s="430"/>
      <c r="F803" s="55"/>
      <c r="G803" s="55"/>
      <c r="H803" s="136">
        <f t="shared" si="24"/>
        <v>0</v>
      </c>
      <c r="I803" s="136">
        <f t="shared" si="25"/>
        <v>0</v>
      </c>
      <c r="J803" s="73"/>
    </row>
    <row r="804" spans="1:10" s="5" customFormat="1" ht="18" hidden="1" customHeight="1">
      <c r="A804" s="1069"/>
      <c r="B804" s="244"/>
      <c r="C804" s="383"/>
      <c r="D804" s="383"/>
      <c r="E804" s="430"/>
      <c r="F804" s="55"/>
      <c r="G804" s="55"/>
      <c r="H804" s="136">
        <f t="shared" si="24"/>
        <v>0</v>
      </c>
      <c r="I804" s="136">
        <f t="shared" si="25"/>
        <v>0</v>
      </c>
      <c r="J804" s="73"/>
    </row>
    <row r="805" spans="1:10" s="5" customFormat="1" ht="18" hidden="1" customHeight="1">
      <c r="A805" s="1069"/>
      <c r="B805" s="244"/>
      <c r="C805" s="383"/>
      <c r="D805" s="383"/>
      <c r="E805" s="430"/>
      <c r="F805" s="55"/>
      <c r="G805" s="55"/>
      <c r="H805" s="136">
        <f t="shared" si="24"/>
        <v>0</v>
      </c>
      <c r="I805" s="136">
        <f t="shared" si="25"/>
        <v>0</v>
      </c>
      <c r="J805" s="73"/>
    </row>
    <row r="806" spans="1:10" s="5" customFormat="1" ht="18" hidden="1" customHeight="1">
      <c r="A806" s="1069"/>
      <c r="B806" s="244"/>
      <c r="C806" s="383"/>
      <c r="D806" s="383"/>
      <c r="E806" s="430"/>
      <c r="F806" s="55"/>
      <c r="G806" s="55"/>
      <c r="H806" s="136">
        <f t="shared" si="24"/>
        <v>0</v>
      </c>
      <c r="I806" s="136">
        <f t="shared" si="25"/>
        <v>0</v>
      </c>
      <c r="J806" s="73"/>
    </row>
    <row r="807" spans="1:10" s="5" customFormat="1" ht="18" hidden="1" customHeight="1">
      <c r="A807" s="1069"/>
      <c r="B807" s="244"/>
      <c r="C807" s="383"/>
      <c r="D807" s="383"/>
      <c r="E807" s="430"/>
      <c r="F807" s="55"/>
      <c r="G807" s="55"/>
      <c r="H807" s="136">
        <f t="shared" si="24"/>
        <v>0</v>
      </c>
      <c r="I807" s="136">
        <f t="shared" si="25"/>
        <v>0</v>
      </c>
      <c r="J807" s="73"/>
    </row>
    <row r="808" spans="1:10" s="5" customFormat="1" ht="18" hidden="1" customHeight="1">
      <c r="A808" s="1069"/>
      <c r="B808" s="244"/>
      <c r="C808" s="383"/>
      <c r="D808" s="383"/>
      <c r="E808" s="430"/>
      <c r="F808" s="55"/>
      <c r="G808" s="55"/>
      <c r="H808" s="136">
        <f t="shared" si="24"/>
        <v>0</v>
      </c>
      <c r="I808" s="136">
        <f t="shared" si="25"/>
        <v>0</v>
      </c>
      <c r="J808" s="73"/>
    </row>
    <row r="809" spans="1:10" s="5" customFormat="1" ht="18" hidden="1" customHeight="1">
      <c r="A809" s="1069"/>
      <c r="B809" s="244"/>
      <c r="C809" s="383"/>
      <c r="D809" s="383"/>
      <c r="E809" s="430"/>
      <c r="F809" s="55"/>
      <c r="G809" s="55"/>
      <c r="H809" s="136">
        <f t="shared" si="24"/>
        <v>0</v>
      </c>
      <c r="I809" s="136">
        <f t="shared" si="25"/>
        <v>0</v>
      </c>
      <c r="J809" s="73"/>
    </row>
    <row r="810" spans="1:10" s="5" customFormat="1" ht="18" hidden="1" customHeight="1">
      <c r="A810" s="1069"/>
      <c r="B810" s="244"/>
      <c r="C810" s="383"/>
      <c r="D810" s="383"/>
      <c r="E810" s="430"/>
      <c r="F810" s="55"/>
      <c r="G810" s="55"/>
      <c r="H810" s="136">
        <f t="shared" si="24"/>
        <v>0</v>
      </c>
      <c r="I810" s="136">
        <f t="shared" si="25"/>
        <v>0</v>
      </c>
      <c r="J810" s="73"/>
    </row>
    <row r="811" spans="1:10" s="5" customFormat="1" ht="18" hidden="1" customHeight="1">
      <c r="A811" s="1069"/>
      <c r="B811" s="244"/>
      <c r="C811" s="383"/>
      <c r="D811" s="383"/>
      <c r="E811" s="430"/>
      <c r="F811" s="55"/>
      <c r="G811" s="55"/>
      <c r="H811" s="136">
        <f t="shared" si="24"/>
        <v>0</v>
      </c>
      <c r="I811" s="136">
        <f t="shared" si="25"/>
        <v>0</v>
      </c>
      <c r="J811" s="73"/>
    </row>
    <row r="812" spans="1:10" s="5" customFormat="1" ht="18" hidden="1" customHeight="1">
      <c r="A812" s="1069"/>
      <c r="B812" s="244"/>
      <c r="C812" s="383"/>
      <c r="D812" s="383"/>
      <c r="E812" s="430"/>
      <c r="F812" s="55"/>
      <c r="G812" s="55"/>
      <c r="H812" s="136">
        <f t="shared" si="24"/>
        <v>0</v>
      </c>
      <c r="I812" s="136">
        <f t="shared" si="25"/>
        <v>0</v>
      </c>
      <c r="J812" s="73"/>
    </row>
    <row r="813" spans="1:10" s="5" customFormat="1" ht="18" hidden="1" customHeight="1">
      <c r="A813" s="1069"/>
      <c r="B813" s="244"/>
      <c r="C813" s="383"/>
      <c r="D813" s="383"/>
      <c r="E813" s="430"/>
      <c r="F813" s="55"/>
      <c r="G813" s="55"/>
      <c r="H813" s="136">
        <f t="shared" si="24"/>
        <v>0</v>
      </c>
      <c r="I813" s="136">
        <f t="shared" si="25"/>
        <v>0</v>
      </c>
      <c r="J813" s="73"/>
    </row>
    <row r="814" spans="1:10" s="5" customFormat="1" ht="18" hidden="1" customHeight="1">
      <c r="A814" s="1069"/>
      <c r="B814" s="244"/>
      <c r="C814" s="383"/>
      <c r="D814" s="383"/>
      <c r="E814" s="430"/>
      <c r="F814" s="55"/>
      <c r="G814" s="55"/>
      <c r="H814" s="136">
        <f t="shared" si="24"/>
        <v>0</v>
      </c>
      <c r="I814" s="136">
        <f t="shared" si="25"/>
        <v>0</v>
      </c>
      <c r="J814" s="73"/>
    </row>
    <row r="815" spans="1:10" s="5" customFormat="1" ht="18" hidden="1" customHeight="1">
      <c r="A815" s="1069"/>
      <c r="B815" s="244"/>
      <c r="C815" s="383"/>
      <c r="D815" s="383"/>
      <c r="E815" s="430"/>
      <c r="F815" s="55"/>
      <c r="G815" s="55"/>
      <c r="H815" s="136">
        <f t="shared" si="24"/>
        <v>0</v>
      </c>
      <c r="I815" s="136">
        <f t="shared" si="25"/>
        <v>0</v>
      </c>
      <c r="J815" s="73"/>
    </row>
    <row r="816" spans="1:10" s="5" customFormat="1" ht="18" hidden="1" customHeight="1">
      <c r="A816" s="1069"/>
      <c r="B816" s="244"/>
      <c r="C816" s="383"/>
      <c r="D816" s="383"/>
      <c r="E816" s="430"/>
      <c r="F816" s="55"/>
      <c r="G816" s="55"/>
      <c r="H816" s="136">
        <f t="shared" si="24"/>
        <v>0</v>
      </c>
      <c r="I816" s="136">
        <f t="shared" si="25"/>
        <v>0</v>
      </c>
      <c r="J816" s="73"/>
    </row>
    <row r="817" spans="1:10" s="5" customFormat="1" ht="18" hidden="1" customHeight="1">
      <c r="A817" s="1069"/>
      <c r="B817" s="244"/>
      <c r="C817" s="383"/>
      <c r="D817" s="383"/>
      <c r="E817" s="430"/>
      <c r="F817" s="55"/>
      <c r="G817" s="55"/>
      <c r="H817" s="136">
        <f t="shared" si="24"/>
        <v>0</v>
      </c>
      <c r="I817" s="136">
        <f t="shared" si="25"/>
        <v>0</v>
      </c>
      <c r="J817" s="73"/>
    </row>
    <row r="818" spans="1:10" s="5" customFormat="1" ht="18" hidden="1" customHeight="1">
      <c r="A818" s="1069"/>
      <c r="B818" s="244"/>
      <c r="C818" s="383"/>
      <c r="D818" s="383"/>
      <c r="E818" s="383"/>
      <c r="F818" s="55"/>
      <c r="G818" s="55"/>
      <c r="H818" s="136">
        <f t="shared" si="24"/>
        <v>0</v>
      </c>
      <c r="I818" s="136">
        <f t="shared" si="25"/>
        <v>0</v>
      </c>
      <c r="J818" s="73"/>
    </row>
    <row r="819" spans="1:10" s="5" customFormat="1" ht="18" hidden="1" customHeight="1">
      <c r="A819" s="1069"/>
      <c r="B819" s="244"/>
      <c r="C819" s="383"/>
      <c r="D819" s="383"/>
      <c r="E819" s="383"/>
      <c r="F819" s="55"/>
      <c r="G819" s="55"/>
      <c r="H819" s="136">
        <f t="shared" si="24"/>
        <v>0</v>
      </c>
      <c r="I819" s="136">
        <f t="shared" si="25"/>
        <v>0</v>
      </c>
      <c r="J819" s="73"/>
    </row>
    <row r="820" spans="1:10" s="5" customFormat="1" ht="18" hidden="1" customHeight="1">
      <c r="A820" s="1069"/>
      <c r="B820" s="244"/>
      <c r="C820" s="383"/>
      <c r="D820" s="383"/>
      <c r="E820" s="383"/>
      <c r="F820" s="55"/>
      <c r="G820" s="55"/>
      <c r="H820" s="136">
        <f t="shared" si="24"/>
        <v>0</v>
      </c>
      <c r="I820" s="136">
        <f t="shared" si="25"/>
        <v>0</v>
      </c>
      <c r="J820" s="73"/>
    </row>
    <row r="821" spans="1:10" s="5" customFormat="1" ht="18" hidden="1" customHeight="1">
      <c r="A821" s="1069"/>
      <c r="B821" s="244"/>
      <c r="C821" s="430"/>
      <c r="D821" s="430"/>
      <c r="E821" s="430"/>
      <c r="F821" s="55"/>
      <c r="G821" s="55"/>
      <c r="H821" s="136">
        <f t="shared" si="24"/>
        <v>0</v>
      </c>
      <c r="I821" s="136">
        <f t="shared" si="25"/>
        <v>0</v>
      </c>
      <c r="J821" s="73"/>
    </row>
    <row r="822" spans="1:10" s="5" customFormat="1" ht="18" hidden="1" customHeight="1">
      <c r="A822" s="1069"/>
      <c r="B822" s="244"/>
      <c r="C822" s="430"/>
      <c r="D822" s="430"/>
      <c r="E822" s="430"/>
      <c r="F822" s="55"/>
      <c r="G822" s="55"/>
      <c r="H822" s="136">
        <f t="shared" si="24"/>
        <v>0</v>
      </c>
      <c r="I822" s="136">
        <f t="shared" si="25"/>
        <v>0</v>
      </c>
      <c r="J822" s="73"/>
    </row>
    <row r="823" spans="1:10" s="5" customFormat="1" ht="18" hidden="1" customHeight="1">
      <c r="A823" s="1069"/>
      <c r="B823" s="244"/>
      <c r="C823" s="430"/>
      <c r="D823" s="430"/>
      <c r="E823" s="430"/>
      <c r="F823" s="55"/>
      <c r="G823" s="55"/>
      <c r="H823" s="136">
        <f t="shared" si="24"/>
        <v>0</v>
      </c>
      <c r="I823" s="136">
        <f t="shared" si="25"/>
        <v>0</v>
      </c>
      <c r="J823" s="73"/>
    </row>
    <row r="824" spans="1:10" s="5" customFormat="1" ht="18" hidden="1" customHeight="1">
      <c r="A824" s="1069"/>
      <c r="B824" s="244"/>
      <c r="C824" s="430"/>
      <c r="D824" s="430"/>
      <c r="E824" s="430"/>
      <c r="F824" s="55"/>
      <c r="G824" s="55"/>
      <c r="H824" s="136">
        <f t="shared" si="24"/>
        <v>0</v>
      </c>
      <c r="I824" s="136">
        <f t="shared" si="25"/>
        <v>0</v>
      </c>
      <c r="J824" s="73"/>
    </row>
    <row r="825" spans="1:10" s="5" customFormat="1" ht="18" hidden="1" customHeight="1">
      <c r="A825" s="1069"/>
      <c r="B825" s="244"/>
      <c r="C825" s="430"/>
      <c r="D825" s="430"/>
      <c r="E825" s="430"/>
      <c r="F825" s="55"/>
      <c r="G825" s="55"/>
      <c r="H825" s="136">
        <f t="shared" si="24"/>
        <v>0</v>
      </c>
      <c r="I825" s="136">
        <f t="shared" si="25"/>
        <v>0</v>
      </c>
      <c r="J825" s="73"/>
    </row>
    <row r="826" spans="1:10" s="5" customFormat="1" ht="18" hidden="1" customHeight="1">
      <c r="A826" s="1069"/>
      <c r="B826" s="244"/>
      <c r="C826" s="430"/>
      <c r="D826" s="430"/>
      <c r="E826" s="430"/>
      <c r="F826" s="55"/>
      <c r="G826" s="55"/>
      <c r="H826" s="136">
        <f t="shared" si="24"/>
        <v>0</v>
      </c>
      <c r="I826" s="136">
        <f t="shared" si="25"/>
        <v>0</v>
      </c>
      <c r="J826" s="73"/>
    </row>
    <row r="827" spans="1:10" s="5" customFormat="1" ht="18" hidden="1" customHeight="1">
      <c r="A827" s="1069"/>
      <c r="B827" s="244"/>
      <c r="C827" s="430"/>
      <c r="D827" s="430"/>
      <c r="E827" s="430"/>
      <c r="F827" s="55"/>
      <c r="G827" s="55"/>
      <c r="H827" s="136">
        <f t="shared" si="24"/>
        <v>0</v>
      </c>
      <c r="I827" s="136">
        <f t="shared" si="25"/>
        <v>0</v>
      </c>
      <c r="J827" s="73"/>
    </row>
    <row r="828" spans="1:10" s="5" customFormat="1" ht="18" hidden="1" customHeight="1">
      <c r="A828" s="1069"/>
      <c r="B828" s="244"/>
      <c r="C828" s="430"/>
      <c r="D828" s="430"/>
      <c r="E828" s="430"/>
      <c r="F828" s="55"/>
      <c r="G828" s="55"/>
      <c r="H828" s="136">
        <f t="shared" si="24"/>
        <v>0</v>
      </c>
      <c r="I828" s="136">
        <f t="shared" si="25"/>
        <v>0</v>
      </c>
      <c r="J828" s="73"/>
    </row>
    <row r="829" spans="1:10" s="5" customFormat="1" ht="18" hidden="1" customHeight="1">
      <c r="A829" s="1069"/>
      <c r="B829" s="244"/>
      <c r="C829" s="430"/>
      <c r="D829" s="430"/>
      <c r="E829" s="430"/>
      <c r="F829" s="55"/>
      <c r="G829" s="55"/>
      <c r="H829" s="136">
        <f t="shared" si="24"/>
        <v>0</v>
      </c>
      <c r="I829" s="136">
        <f t="shared" si="25"/>
        <v>0</v>
      </c>
      <c r="J829" s="73"/>
    </row>
    <row r="830" spans="1:10" s="5" customFormat="1" ht="18" hidden="1" customHeight="1">
      <c r="A830" s="1069"/>
      <c r="B830" s="244"/>
      <c r="C830" s="430"/>
      <c r="D830" s="430"/>
      <c r="E830" s="430"/>
      <c r="F830" s="55"/>
      <c r="G830" s="55"/>
      <c r="H830" s="136">
        <f t="shared" si="24"/>
        <v>0</v>
      </c>
      <c r="I830" s="136">
        <f t="shared" si="25"/>
        <v>0</v>
      </c>
      <c r="J830" s="73"/>
    </row>
    <row r="831" spans="1:10" s="5" customFormat="1" ht="18" hidden="1" customHeight="1">
      <c r="A831" s="1069"/>
      <c r="B831" s="244"/>
      <c r="C831" s="430"/>
      <c r="D831" s="430"/>
      <c r="E831" s="430"/>
      <c r="F831" s="55"/>
      <c r="G831" s="55"/>
      <c r="H831" s="136">
        <f t="shared" si="24"/>
        <v>0</v>
      </c>
      <c r="I831" s="136">
        <f t="shared" si="25"/>
        <v>0</v>
      </c>
      <c r="J831" s="73"/>
    </row>
    <row r="832" spans="1:10" s="5" customFormat="1" ht="18" hidden="1" customHeight="1">
      <c r="A832" s="1069"/>
      <c r="B832" s="244"/>
      <c r="C832" s="430"/>
      <c r="D832" s="430"/>
      <c r="E832" s="430"/>
      <c r="F832" s="55"/>
      <c r="G832" s="55"/>
      <c r="H832" s="136">
        <f t="shared" si="24"/>
        <v>0</v>
      </c>
      <c r="I832" s="136">
        <f t="shared" si="25"/>
        <v>0</v>
      </c>
      <c r="J832" s="73"/>
    </row>
    <row r="833" spans="1:10" s="5" customFormat="1" ht="18" hidden="1" customHeight="1">
      <c r="A833" s="1069"/>
      <c r="B833" s="244"/>
      <c r="C833" s="430"/>
      <c r="D833" s="430"/>
      <c r="E833" s="430"/>
      <c r="F833" s="55"/>
      <c r="G833" s="55"/>
      <c r="H833" s="136">
        <f t="shared" si="24"/>
        <v>0</v>
      </c>
      <c r="I833" s="136">
        <f t="shared" si="25"/>
        <v>0</v>
      </c>
      <c r="J833" s="73"/>
    </row>
    <row r="834" spans="1:10" s="5" customFormat="1" ht="18" hidden="1" customHeight="1">
      <c r="A834" s="1069"/>
      <c r="B834" s="244"/>
      <c r="C834" s="430"/>
      <c r="D834" s="430"/>
      <c r="E834" s="430"/>
      <c r="F834" s="55"/>
      <c r="G834" s="55"/>
      <c r="H834" s="136">
        <f t="shared" si="24"/>
        <v>0</v>
      </c>
      <c r="I834" s="136">
        <f t="shared" si="25"/>
        <v>0</v>
      </c>
      <c r="J834" s="73"/>
    </row>
    <row r="835" spans="1:10" s="5" customFormat="1" ht="18" hidden="1" customHeight="1">
      <c r="A835" s="1069"/>
      <c r="B835" s="244"/>
      <c r="C835" s="430"/>
      <c r="D835" s="430"/>
      <c r="E835" s="430"/>
      <c r="F835" s="55"/>
      <c r="G835" s="55"/>
      <c r="H835" s="136">
        <f t="shared" si="24"/>
        <v>0</v>
      </c>
      <c r="I835" s="136">
        <f t="shared" si="25"/>
        <v>0</v>
      </c>
      <c r="J835" s="73"/>
    </row>
    <row r="836" spans="1:10" s="5" customFormat="1" ht="18" hidden="1" customHeight="1">
      <c r="A836" s="1069"/>
      <c r="B836" s="244"/>
      <c r="C836" s="383"/>
      <c r="D836" s="383"/>
      <c r="E836" s="430"/>
      <c r="F836" s="55"/>
      <c r="G836" s="55"/>
      <c r="H836" s="136">
        <f t="shared" si="24"/>
        <v>0</v>
      </c>
      <c r="I836" s="136">
        <f t="shared" si="25"/>
        <v>0</v>
      </c>
      <c r="J836" s="73"/>
    </row>
    <row r="837" spans="1:10" s="5" customFormat="1" ht="18" hidden="1" customHeight="1">
      <c r="A837" s="1069"/>
      <c r="B837" s="244"/>
      <c r="C837" s="383"/>
      <c r="D837" s="383"/>
      <c r="E837" s="383"/>
      <c r="F837" s="55"/>
      <c r="G837" s="55"/>
      <c r="H837" s="136">
        <f t="shared" si="24"/>
        <v>0</v>
      </c>
      <c r="I837" s="136">
        <f t="shared" si="25"/>
        <v>0</v>
      </c>
      <c r="J837" s="73"/>
    </row>
    <row r="838" spans="1:10" s="5" customFormat="1" ht="18" hidden="1" customHeight="1">
      <c r="A838" s="1069"/>
      <c r="B838" s="244"/>
      <c r="C838" s="383"/>
      <c r="D838" s="383"/>
      <c r="E838" s="383"/>
      <c r="F838" s="55"/>
      <c r="G838" s="55"/>
      <c r="H838" s="136">
        <f t="shared" si="24"/>
        <v>0</v>
      </c>
      <c r="I838" s="136">
        <f t="shared" si="25"/>
        <v>0</v>
      </c>
      <c r="J838" s="73"/>
    </row>
    <row r="839" spans="1:10" s="5" customFormat="1" ht="18" hidden="1" customHeight="1">
      <c r="A839" s="1069"/>
      <c r="B839" s="244"/>
      <c r="C839" s="383"/>
      <c r="D839" s="383"/>
      <c r="E839" s="383"/>
      <c r="F839" s="55"/>
      <c r="G839" s="55"/>
      <c r="H839" s="136">
        <f t="shared" si="24"/>
        <v>0</v>
      </c>
      <c r="I839" s="136">
        <f t="shared" si="25"/>
        <v>0</v>
      </c>
      <c r="J839" s="73"/>
    </row>
    <row r="840" spans="1:10" s="5" customFormat="1" ht="18" hidden="1" customHeight="1">
      <c r="A840" s="1069"/>
      <c r="B840" s="244"/>
      <c r="C840" s="383"/>
      <c r="D840" s="383"/>
      <c r="E840" s="383"/>
      <c r="F840" s="55"/>
      <c r="G840" s="55"/>
      <c r="H840" s="136">
        <f t="shared" si="24"/>
        <v>0</v>
      </c>
      <c r="I840" s="136">
        <f t="shared" si="25"/>
        <v>0</v>
      </c>
      <c r="J840" s="73"/>
    </row>
    <row r="841" spans="1:10" s="5" customFormat="1" ht="18" hidden="1" customHeight="1">
      <c r="A841" s="1069"/>
      <c r="B841" s="244"/>
      <c r="C841" s="383"/>
      <c r="D841" s="383"/>
      <c r="E841" s="383"/>
      <c r="F841" s="55"/>
      <c r="G841" s="55"/>
      <c r="H841" s="136">
        <f t="shared" ref="H841:H904" si="26">E841+D841-C841</f>
        <v>0</v>
      </c>
      <c r="I841" s="136">
        <f t="shared" ref="I841:I904" si="27">SUM(C841:E841)</f>
        <v>0</v>
      </c>
      <c r="J841" s="73"/>
    </row>
    <row r="842" spans="1:10" s="5" customFormat="1" ht="18" hidden="1" customHeight="1">
      <c r="A842" s="1069"/>
      <c r="B842" s="244"/>
      <c r="C842" s="383"/>
      <c r="D842" s="383"/>
      <c r="E842" s="383"/>
      <c r="F842" s="55"/>
      <c r="G842" s="55"/>
      <c r="H842" s="136">
        <f t="shared" si="26"/>
        <v>0</v>
      </c>
      <c r="I842" s="136">
        <f t="shared" si="27"/>
        <v>0</v>
      </c>
      <c r="J842" s="73"/>
    </row>
    <row r="843" spans="1:10" s="5" customFormat="1" ht="18" hidden="1" customHeight="1">
      <c r="A843" s="1069"/>
      <c r="B843" s="244"/>
      <c r="C843" s="383"/>
      <c r="D843" s="383"/>
      <c r="E843" s="383"/>
      <c r="F843" s="55"/>
      <c r="G843" s="55"/>
      <c r="H843" s="136">
        <f t="shared" si="26"/>
        <v>0</v>
      </c>
      <c r="I843" s="136">
        <f t="shared" si="27"/>
        <v>0</v>
      </c>
      <c r="J843" s="73"/>
    </row>
    <row r="844" spans="1:10" s="5" customFormat="1" ht="18" hidden="1" customHeight="1">
      <c r="A844" s="1069"/>
      <c r="B844" s="244"/>
      <c r="C844" s="383"/>
      <c r="D844" s="383"/>
      <c r="E844" s="430"/>
      <c r="F844" s="55"/>
      <c r="G844" s="55"/>
      <c r="H844" s="136">
        <f t="shared" si="26"/>
        <v>0</v>
      </c>
      <c r="I844" s="136">
        <f t="shared" si="27"/>
        <v>0</v>
      </c>
      <c r="J844" s="73"/>
    </row>
    <row r="845" spans="1:10" s="5" customFormat="1" ht="18" hidden="1" customHeight="1">
      <c r="A845" s="1069"/>
      <c r="B845" s="244"/>
      <c r="C845" s="430"/>
      <c r="D845" s="430"/>
      <c r="E845" s="430"/>
      <c r="F845" s="55"/>
      <c r="G845" s="55"/>
      <c r="H845" s="136">
        <f t="shared" si="26"/>
        <v>0</v>
      </c>
      <c r="I845" s="136">
        <f t="shared" si="27"/>
        <v>0</v>
      </c>
      <c r="J845" s="73"/>
    </row>
    <row r="846" spans="1:10" s="5" customFormat="1" ht="18" hidden="1" customHeight="1">
      <c r="A846" s="1069"/>
      <c r="B846" s="244"/>
      <c r="C846" s="430"/>
      <c r="D846" s="430"/>
      <c r="E846" s="430"/>
      <c r="F846" s="55"/>
      <c r="G846" s="55"/>
      <c r="H846" s="136">
        <f t="shared" si="26"/>
        <v>0</v>
      </c>
      <c r="I846" s="136">
        <f t="shared" si="27"/>
        <v>0</v>
      </c>
      <c r="J846" s="73"/>
    </row>
    <row r="847" spans="1:10" s="5" customFormat="1" ht="18" hidden="1" customHeight="1">
      <c r="A847" s="1069"/>
      <c r="B847" s="244"/>
      <c r="C847" s="430"/>
      <c r="D847" s="430"/>
      <c r="E847" s="430"/>
      <c r="F847" s="55"/>
      <c r="G847" s="55"/>
      <c r="H847" s="136">
        <f t="shared" si="26"/>
        <v>0</v>
      </c>
      <c r="I847" s="136">
        <f t="shared" si="27"/>
        <v>0</v>
      </c>
      <c r="J847" s="73"/>
    </row>
    <row r="848" spans="1:10" s="5" customFormat="1" ht="18" hidden="1" customHeight="1">
      <c r="A848" s="1069"/>
      <c r="B848" s="244"/>
      <c r="C848" s="430"/>
      <c r="D848" s="430"/>
      <c r="E848" s="430"/>
      <c r="F848" s="55"/>
      <c r="G848" s="55"/>
      <c r="H848" s="136">
        <f t="shared" si="26"/>
        <v>0</v>
      </c>
      <c r="I848" s="136">
        <f t="shared" si="27"/>
        <v>0</v>
      </c>
      <c r="J848" s="73"/>
    </row>
    <row r="849" spans="1:10" s="5" customFormat="1" ht="18" hidden="1" customHeight="1">
      <c r="A849" s="1069"/>
      <c r="B849" s="244"/>
      <c r="C849" s="430"/>
      <c r="D849" s="430"/>
      <c r="E849" s="430"/>
      <c r="F849" s="55"/>
      <c r="G849" s="55"/>
      <c r="H849" s="136">
        <f t="shared" si="26"/>
        <v>0</v>
      </c>
      <c r="I849" s="136">
        <f t="shared" si="27"/>
        <v>0</v>
      </c>
      <c r="J849" s="73"/>
    </row>
    <row r="850" spans="1:10" s="5" customFormat="1" ht="18" hidden="1" customHeight="1">
      <c r="A850" s="1069"/>
      <c r="B850" s="244"/>
      <c r="C850" s="383"/>
      <c r="D850" s="383"/>
      <c r="E850" s="383"/>
      <c r="F850" s="55"/>
      <c r="G850" s="55"/>
      <c r="H850" s="136">
        <f t="shared" si="26"/>
        <v>0</v>
      </c>
      <c r="I850" s="136">
        <f t="shared" si="27"/>
        <v>0</v>
      </c>
      <c r="J850" s="73"/>
    </row>
    <row r="851" spans="1:10" s="5" customFormat="1" ht="18" hidden="1" customHeight="1">
      <c r="A851" s="1069"/>
      <c r="B851" s="244"/>
      <c r="C851" s="383"/>
      <c r="D851" s="383"/>
      <c r="E851" s="383"/>
      <c r="F851" s="55"/>
      <c r="G851" s="55"/>
      <c r="H851" s="136">
        <f t="shared" si="26"/>
        <v>0</v>
      </c>
      <c r="I851" s="136">
        <f t="shared" si="27"/>
        <v>0</v>
      </c>
      <c r="J851" s="73"/>
    </row>
    <row r="852" spans="1:10" s="5" customFormat="1" ht="18" hidden="1" customHeight="1">
      <c r="A852" s="1069"/>
      <c r="B852" s="244"/>
      <c r="C852" s="383"/>
      <c r="D852" s="383"/>
      <c r="E852" s="383"/>
      <c r="F852" s="55"/>
      <c r="G852" s="55"/>
      <c r="H852" s="136">
        <f t="shared" si="26"/>
        <v>0</v>
      </c>
      <c r="I852" s="136">
        <f t="shared" si="27"/>
        <v>0</v>
      </c>
      <c r="J852" s="73"/>
    </row>
    <row r="853" spans="1:10" s="5" customFormat="1" ht="18" hidden="1" customHeight="1">
      <c r="A853" s="1069"/>
      <c r="B853" s="244"/>
      <c r="C853" s="383"/>
      <c r="D853" s="383"/>
      <c r="E853" s="383"/>
      <c r="F853" s="55"/>
      <c r="G853" s="55"/>
      <c r="H853" s="136">
        <f t="shared" si="26"/>
        <v>0</v>
      </c>
      <c r="I853" s="136">
        <f t="shared" si="27"/>
        <v>0</v>
      </c>
      <c r="J853" s="73"/>
    </row>
    <row r="854" spans="1:10" s="5" customFormat="1" ht="18" hidden="1" customHeight="1">
      <c r="A854" s="1069"/>
      <c r="B854" s="244"/>
      <c r="C854" s="383"/>
      <c r="D854" s="383"/>
      <c r="E854" s="383"/>
      <c r="F854" s="55"/>
      <c r="G854" s="55"/>
      <c r="H854" s="136">
        <f t="shared" si="26"/>
        <v>0</v>
      </c>
      <c r="I854" s="136">
        <f t="shared" si="27"/>
        <v>0</v>
      </c>
      <c r="J854" s="73"/>
    </row>
    <row r="855" spans="1:10" s="5" customFormat="1" ht="18" hidden="1" customHeight="1">
      <c r="A855" s="1069"/>
      <c r="B855" s="244"/>
      <c r="C855" s="383"/>
      <c r="D855" s="383"/>
      <c r="E855" s="383"/>
      <c r="F855" s="55"/>
      <c r="G855" s="55"/>
      <c r="H855" s="136">
        <f t="shared" si="26"/>
        <v>0</v>
      </c>
      <c r="I855" s="136">
        <f t="shared" si="27"/>
        <v>0</v>
      </c>
      <c r="J855" s="73"/>
    </row>
    <row r="856" spans="1:10" s="5" customFormat="1" ht="18" hidden="1" customHeight="1">
      <c r="A856" s="1069"/>
      <c r="B856" s="244"/>
      <c r="C856" s="383"/>
      <c r="D856" s="383"/>
      <c r="E856" s="383"/>
      <c r="F856" s="55"/>
      <c r="G856" s="55"/>
      <c r="H856" s="136">
        <f t="shared" si="26"/>
        <v>0</v>
      </c>
      <c r="I856" s="136">
        <f t="shared" si="27"/>
        <v>0</v>
      </c>
      <c r="J856" s="73"/>
    </row>
    <row r="857" spans="1:10" s="5" customFormat="1" ht="18" hidden="1" customHeight="1">
      <c r="A857" s="1069"/>
      <c r="B857" s="244"/>
      <c r="C857" s="383"/>
      <c r="D857" s="383"/>
      <c r="E857" s="383"/>
      <c r="F857" s="55"/>
      <c r="G857" s="55"/>
      <c r="H857" s="136">
        <f t="shared" si="26"/>
        <v>0</v>
      </c>
      <c r="I857" s="136">
        <f t="shared" si="27"/>
        <v>0</v>
      </c>
      <c r="J857" s="73"/>
    </row>
    <row r="858" spans="1:10" s="5" customFormat="1" ht="18" hidden="1" customHeight="1">
      <c r="A858" s="1069"/>
      <c r="B858" s="244"/>
      <c r="C858" s="383"/>
      <c r="D858" s="383"/>
      <c r="E858" s="383"/>
      <c r="F858" s="55"/>
      <c r="G858" s="55"/>
      <c r="H858" s="136">
        <f t="shared" si="26"/>
        <v>0</v>
      </c>
      <c r="I858" s="136">
        <f t="shared" si="27"/>
        <v>0</v>
      </c>
      <c r="J858" s="73"/>
    </row>
    <row r="859" spans="1:10" s="5" customFormat="1" ht="18" hidden="1" customHeight="1">
      <c r="A859" s="1069"/>
      <c r="B859" s="244"/>
      <c r="C859" s="383"/>
      <c r="D859" s="383"/>
      <c r="E859" s="430"/>
      <c r="F859" s="55"/>
      <c r="G859" s="55"/>
      <c r="H859" s="136">
        <f t="shared" si="26"/>
        <v>0</v>
      </c>
      <c r="I859" s="136">
        <f t="shared" si="27"/>
        <v>0</v>
      </c>
      <c r="J859" s="73"/>
    </row>
    <row r="860" spans="1:10" s="5" customFormat="1" ht="18" hidden="1" customHeight="1">
      <c r="A860" s="1069"/>
      <c r="B860" s="244"/>
      <c r="C860" s="383"/>
      <c r="D860" s="383"/>
      <c r="E860" s="430"/>
      <c r="F860" s="55"/>
      <c r="G860" s="55"/>
      <c r="H860" s="136">
        <f t="shared" si="26"/>
        <v>0</v>
      </c>
      <c r="I860" s="136">
        <f t="shared" si="27"/>
        <v>0</v>
      </c>
      <c r="J860" s="73"/>
    </row>
    <row r="861" spans="1:10" s="5" customFormat="1" ht="18" hidden="1" customHeight="1">
      <c r="A861" s="1069"/>
      <c r="B861" s="244"/>
      <c r="C861" s="383"/>
      <c r="D861" s="383"/>
      <c r="E861" s="430"/>
      <c r="F861" s="55"/>
      <c r="G861" s="55"/>
      <c r="H861" s="136">
        <f t="shared" si="26"/>
        <v>0</v>
      </c>
      <c r="I861" s="136">
        <f t="shared" si="27"/>
        <v>0</v>
      </c>
      <c r="J861" s="73"/>
    </row>
    <row r="862" spans="1:10" s="5" customFormat="1" ht="18" hidden="1" customHeight="1">
      <c r="A862" s="1069"/>
      <c r="B862" s="244"/>
      <c r="C862" s="383"/>
      <c r="D862" s="383"/>
      <c r="E862" s="430"/>
      <c r="F862" s="55"/>
      <c r="G862" s="55"/>
      <c r="H862" s="136">
        <f t="shared" si="26"/>
        <v>0</v>
      </c>
      <c r="I862" s="136">
        <f t="shared" si="27"/>
        <v>0</v>
      </c>
      <c r="J862" s="73"/>
    </row>
    <row r="863" spans="1:10" s="5" customFormat="1" ht="18" hidden="1" customHeight="1">
      <c r="A863" s="1069"/>
      <c r="B863" s="244"/>
      <c r="C863" s="383"/>
      <c r="D863" s="383"/>
      <c r="E863" s="430"/>
      <c r="F863" s="55"/>
      <c r="G863" s="55"/>
      <c r="H863" s="136">
        <f t="shared" si="26"/>
        <v>0</v>
      </c>
      <c r="I863" s="136">
        <f t="shared" si="27"/>
        <v>0</v>
      </c>
      <c r="J863" s="73"/>
    </row>
    <row r="864" spans="1:10" s="5" customFormat="1" ht="18" hidden="1" customHeight="1">
      <c r="A864" s="1069"/>
      <c r="B864" s="244"/>
      <c r="C864" s="383"/>
      <c r="D864" s="383"/>
      <c r="E864" s="430"/>
      <c r="F864" s="55"/>
      <c r="G864" s="55"/>
      <c r="H864" s="136">
        <f t="shared" si="26"/>
        <v>0</v>
      </c>
      <c r="I864" s="136">
        <f t="shared" si="27"/>
        <v>0</v>
      </c>
      <c r="J864" s="73"/>
    </row>
    <row r="865" spans="1:10" s="5" customFormat="1" ht="18" hidden="1" customHeight="1">
      <c r="A865" s="1069"/>
      <c r="B865" s="244"/>
      <c r="C865" s="383"/>
      <c r="D865" s="383"/>
      <c r="E865" s="430"/>
      <c r="F865" s="55"/>
      <c r="G865" s="55"/>
      <c r="H865" s="136">
        <f t="shared" si="26"/>
        <v>0</v>
      </c>
      <c r="I865" s="136">
        <f t="shared" si="27"/>
        <v>0</v>
      </c>
      <c r="J865" s="73"/>
    </row>
    <row r="866" spans="1:10" s="5" customFormat="1" ht="18" hidden="1" customHeight="1">
      <c r="A866" s="1069"/>
      <c r="B866" s="244"/>
      <c r="C866" s="383"/>
      <c r="D866" s="383"/>
      <c r="E866" s="430"/>
      <c r="F866" s="55"/>
      <c r="G866" s="55"/>
      <c r="H866" s="136">
        <f t="shared" si="26"/>
        <v>0</v>
      </c>
      <c r="I866" s="136">
        <f t="shared" si="27"/>
        <v>0</v>
      </c>
      <c r="J866" s="73"/>
    </row>
    <row r="867" spans="1:10" s="5" customFormat="1" ht="18" hidden="1" customHeight="1">
      <c r="A867" s="1069"/>
      <c r="B867" s="244"/>
      <c r="C867" s="383"/>
      <c r="D867" s="383"/>
      <c r="E867" s="430"/>
      <c r="F867" s="55"/>
      <c r="G867" s="55"/>
      <c r="H867" s="136">
        <f t="shared" si="26"/>
        <v>0</v>
      </c>
      <c r="I867" s="136">
        <f t="shared" si="27"/>
        <v>0</v>
      </c>
      <c r="J867" s="73"/>
    </row>
    <row r="868" spans="1:10" s="5" customFormat="1" ht="18" hidden="1" customHeight="1">
      <c r="A868" s="1069"/>
      <c r="B868" s="244"/>
      <c r="C868" s="383"/>
      <c r="D868" s="383"/>
      <c r="E868" s="430"/>
      <c r="F868" s="55"/>
      <c r="G868" s="55"/>
      <c r="H868" s="136">
        <f t="shared" si="26"/>
        <v>0</v>
      </c>
      <c r="I868" s="136">
        <f t="shared" si="27"/>
        <v>0</v>
      </c>
      <c r="J868" s="73"/>
    </row>
    <row r="869" spans="1:10" s="5" customFormat="1" ht="18" hidden="1" customHeight="1">
      <c r="A869" s="1069"/>
      <c r="B869" s="244"/>
      <c r="C869" s="383"/>
      <c r="D869" s="383"/>
      <c r="E869" s="430"/>
      <c r="F869" s="55"/>
      <c r="G869" s="55"/>
      <c r="H869" s="136">
        <f t="shared" si="26"/>
        <v>0</v>
      </c>
      <c r="I869" s="136">
        <f t="shared" si="27"/>
        <v>0</v>
      </c>
      <c r="J869" s="73"/>
    </row>
    <row r="870" spans="1:10" s="5" customFormat="1" ht="18" hidden="1" customHeight="1">
      <c r="A870" s="1069"/>
      <c r="B870" s="244"/>
      <c r="C870" s="383"/>
      <c r="D870" s="383"/>
      <c r="E870" s="430"/>
      <c r="F870" s="55"/>
      <c r="G870" s="55"/>
      <c r="H870" s="136">
        <f t="shared" si="26"/>
        <v>0</v>
      </c>
      <c r="I870" s="136">
        <f t="shared" si="27"/>
        <v>0</v>
      </c>
      <c r="J870" s="73"/>
    </row>
    <row r="871" spans="1:10" s="5" customFormat="1" ht="18" hidden="1" customHeight="1">
      <c r="A871" s="1069"/>
      <c r="B871" s="244"/>
      <c r="C871" s="383"/>
      <c r="D871" s="383"/>
      <c r="E871" s="430"/>
      <c r="F871" s="55"/>
      <c r="G871" s="55"/>
      <c r="H871" s="136">
        <f t="shared" si="26"/>
        <v>0</v>
      </c>
      <c r="I871" s="136">
        <f t="shared" si="27"/>
        <v>0</v>
      </c>
      <c r="J871" s="73"/>
    </row>
    <row r="872" spans="1:10" s="5" customFormat="1" ht="18" hidden="1" customHeight="1">
      <c r="A872" s="1069"/>
      <c r="B872" s="244"/>
      <c r="C872" s="383"/>
      <c r="D872" s="383"/>
      <c r="E872" s="430"/>
      <c r="F872" s="55"/>
      <c r="G872" s="55"/>
      <c r="H872" s="136">
        <f t="shared" si="26"/>
        <v>0</v>
      </c>
      <c r="I872" s="136">
        <f t="shared" si="27"/>
        <v>0</v>
      </c>
      <c r="J872" s="73"/>
    </row>
    <row r="873" spans="1:10" s="5" customFormat="1" ht="18" hidden="1" customHeight="1">
      <c r="A873" s="1069"/>
      <c r="B873" s="244"/>
      <c r="C873" s="383"/>
      <c r="D873" s="383"/>
      <c r="E873" s="430"/>
      <c r="F873" s="55"/>
      <c r="G873" s="55"/>
      <c r="H873" s="136">
        <f t="shared" si="26"/>
        <v>0</v>
      </c>
      <c r="I873" s="136">
        <f t="shared" si="27"/>
        <v>0</v>
      </c>
      <c r="J873" s="73"/>
    </row>
    <row r="874" spans="1:10" s="5" customFormat="1" ht="18" hidden="1" customHeight="1">
      <c r="A874" s="1069"/>
      <c r="B874" s="244"/>
      <c r="C874" s="383"/>
      <c r="D874" s="383"/>
      <c r="E874" s="430"/>
      <c r="F874" s="55"/>
      <c r="G874" s="55"/>
      <c r="H874" s="136">
        <f t="shared" si="26"/>
        <v>0</v>
      </c>
      <c r="I874" s="136">
        <f t="shared" si="27"/>
        <v>0</v>
      </c>
      <c r="J874" s="73"/>
    </row>
    <row r="875" spans="1:10" s="5" customFormat="1" ht="18" hidden="1" customHeight="1">
      <c r="A875" s="1069"/>
      <c r="B875" s="244"/>
      <c r="C875" s="383"/>
      <c r="D875" s="383"/>
      <c r="E875" s="433"/>
      <c r="F875" s="55"/>
      <c r="G875" s="55"/>
      <c r="H875" s="136">
        <f t="shared" si="26"/>
        <v>0</v>
      </c>
      <c r="I875" s="136">
        <f t="shared" si="27"/>
        <v>0</v>
      </c>
      <c r="J875" s="73"/>
    </row>
    <row r="876" spans="1:10" s="5" customFormat="1" ht="18" hidden="1" customHeight="1">
      <c r="A876" s="1069"/>
      <c r="B876" s="244"/>
      <c r="C876" s="383"/>
      <c r="D876" s="383"/>
      <c r="E876" s="433"/>
      <c r="F876" s="55"/>
      <c r="G876" s="55"/>
      <c r="H876" s="136">
        <f t="shared" si="26"/>
        <v>0</v>
      </c>
      <c r="I876" s="136">
        <f t="shared" si="27"/>
        <v>0</v>
      </c>
      <c r="J876" s="73"/>
    </row>
    <row r="877" spans="1:10" s="5" customFormat="1" ht="18" hidden="1" customHeight="1">
      <c r="A877" s="1069"/>
      <c r="B877" s="244"/>
      <c r="C877" s="383"/>
      <c r="D877" s="383"/>
      <c r="E877" s="433"/>
      <c r="F877" s="55"/>
      <c r="G877" s="55"/>
      <c r="H877" s="136">
        <f t="shared" si="26"/>
        <v>0</v>
      </c>
      <c r="I877" s="136">
        <f t="shared" si="27"/>
        <v>0</v>
      </c>
      <c r="J877" s="73"/>
    </row>
    <row r="878" spans="1:10" s="5" customFormat="1" ht="18" hidden="1" customHeight="1">
      <c r="A878" s="1069"/>
      <c r="B878" s="244"/>
      <c r="C878" s="383"/>
      <c r="D878" s="383"/>
      <c r="E878" s="433"/>
      <c r="F878" s="55"/>
      <c r="G878" s="55"/>
      <c r="H878" s="136">
        <f t="shared" si="26"/>
        <v>0</v>
      </c>
      <c r="I878" s="136">
        <f t="shared" si="27"/>
        <v>0</v>
      </c>
      <c r="J878" s="73"/>
    </row>
    <row r="879" spans="1:10" s="5" customFormat="1" ht="18" hidden="1" customHeight="1">
      <c r="A879" s="1069"/>
      <c r="B879" s="244"/>
      <c r="C879" s="383"/>
      <c r="D879" s="383"/>
      <c r="E879" s="433"/>
      <c r="F879" s="55"/>
      <c r="G879" s="55"/>
      <c r="H879" s="136">
        <f t="shared" si="26"/>
        <v>0</v>
      </c>
      <c r="I879" s="136">
        <f t="shared" si="27"/>
        <v>0</v>
      </c>
      <c r="J879" s="73"/>
    </row>
    <row r="880" spans="1:10" s="5" customFormat="1" ht="18" hidden="1" customHeight="1">
      <c r="A880" s="1069"/>
      <c r="B880" s="244"/>
      <c r="C880" s="383"/>
      <c r="D880" s="383"/>
      <c r="E880" s="433"/>
      <c r="F880" s="55"/>
      <c r="G880" s="55"/>
      <c r="H880" s="136">
        <f t="shared" si="26"/>
        <v>0</v>
      </c>
      <c r="I880" s="136">
        <f t="shared" si="27"/>
        <v>0</v>
      </c>
      <c r="J880" s="73"/>
    </row>
    <row r="881" spans="1:10" s="5" customFormat="1" ht="18" hidden="1" customHeight="1">
      <c r="A881" s="1069"/>
      <c r="B881" s="244"/>
      <c r="C881" s="383"/>
      <c r="D881" s="383"/>
      <c r="E881" s="433"/>
      <c r="F881" s="55"/>
      <c r="G881" s="55"/>
      <c r="H881" s="136">
        <f t="shared" si="26"/>
        <v>0</v>
      </c>
      <c r="I881" s="136">
        <f t="shared" si="27"/>
        <v>0</v>
      </c>
      <c r="J881" s="73"/>
    </row>
    <row r="882" spans="1:10" s="5" customFormat="1" ht="18" hidden="1" customHeight="1">
      <c r="A882" s="1069"/>
      <c r="B882" s="244"/>
      <c r="C882" s="383"/>
      <c r="D882" s="383"/>
      <c r="E882" s="433"/>
      <c r="F882" s="55"/>
      <c r="G882" s="55"/>
      <c r="H882" s="136">
        <f t="shared" si="26"/>
        <v>0</v>
      </c>
      <c r="I882" s="136">
        <f t="shared" si="27"/>
        <v>0</v>
      </c>
      <c r="J882" s="73"/>
    </row>
    <row r="883" spans="1:10" s="5" customFormat="1" ht="18" hidden="1" customHeight="1">
      <c r="A883" s="1069"/>
      <c r="B883" s="244"/>
      <c r="C883" s="383"/>
      <c r="D883" s="383"/>
      <c r="E883" s="433"/>
      <c r="F883" s="55"/>
      <c r="G883" s="55"/>
      <c r="H883" s="136">
        <f t="shared" si="26"/>
        <v>0</v>
      </c>
      <c r="I883" s="136">
        <f t="shared" si="27"/>
        <v>0</v>
      </c>
      <c r="J883" s="73"/>
    </row>
    <row r="884" spans="1:10" s="5" customFormat="1" ht="18" hidden="1" customHeight="1">
      <c r="A884" s="1069"/>
      <c r="B884" s="244"/>
      <c r="C884" s="383"/>
      <c r="D884" s="383"/>
      <c r="E884" s="433"/>
      <c r="F884" s="55"/>
      <c r="G884" s="55"/>
      <c r="H884" s="136">
        <f t="shared" si="26"/>
        <v>0</v>
      </c>
      <c r="I884" s="136">
        <f t="shared" si="27"/>
        <v>0</v>
      </c>
      <c r="J884" s="73"/>
    </row>
    <row r="885" spans="1:10" s="5" customFormat="1" ht="18" hidden="1" customHeight="1">
      <c r="A885" s="1069"/>
      <c r="B885" s="244"/>
      <c r="C885" s="383"/>
      <c r="D885" s="383"/>
      <c r="E885" s="433"/>
      <c r="F885" s="55"/>
      <c r="G885" s="55"/>
      <c r="H885" s="136">
        <f t="shared" si="26"/>
        <v>0</v>
      </c>
      <c r="I885" s="136">
        <f t="shared" si="27"/>
        <v>0</v>
      </c>
      <c r="J885" s="73"/>
    </row>
    <row r="886" spans="1:10" s="5" customFormat="1" ht="18" hidden="1" customHeight="1">
      <c r="A886" s="1069"/>
      <c r="B886" s="244"/>
      <c r="C886" s="383"/>
      <c r="D886" s="383"/>
      <c r="E886" s="433"/>
      <c r="F886" s="55"/>
      <c r="G886" s="55"/>
      <c r="H886" s="136">
        <f t="shared" si="26"/>
        <v>0</v>
      </c>
      <c r="I886" s="136">
        <f t="shared" si="27"/>
        <v>0</v>
      </c>
      <c r="J886" s="73"/>
    </row>
    <row r="887" spans="1:10" s="5" customFormat="1" ht="18" hidden="1" customHeight="1">
      <c r="A887" s="1069"/>
      <c r="B887" s="244"/>
      <c r="C887" s="383"/>
      <c r="D887" s="383"/>
      <c r="E887" s="433"/>
      <c r="F887" s="55"/>
      <c r="G887" s="55"/>
      <c r="H887" s="136">
        <f t="shared" si="26"/>
        <v>0</v>
      </c>
      <c r="I887" s="136">
        <f t="shared" si="27"/>
        <v>0</v>
      </c>
      <c r="J887" s="73"/>
    </row>
    <row r="888" spans="1:10" s="5" customFormat="1" ht="18" hidden="1" customHeight="1">
      <c r="A888" s="1069"/>
      <c r="B888" s="244"/>
      <c r="C888" s="383"/>
      <c r="D888" s="383"/>
      <c r="E888" s="433"/>
      <c r="F888" s="55"/>
      <c r="G888" s="55"/>
      <c r="H888" s="136">
        <f t="shared" si="26"/>
        <v>0</v>
      </c>
      <c r="I888" s="136">
        <f t="shared" si="27"/>
        <v>0</v>
      </c>
      <c r="J888" s="73"/>
    </row>
    <row r="889" spans="1:10" s="5" customFormat="1" ht="18" hidden="1" customHeight="1">
      <c r="A889" s="1069"/>
      <c r="B889" s="244"/>
      <c r="C889" s="383"/>
      <c r="D889" s="383"/>
      <c r="E889" s="433"/>
      <c r="F889" s="55"/>
      <c r="G889" s="55"/>
      <c r="H889" s="136">
        <f t="shared" si="26"/>
        <v>0</v>
      </c>
      <c r="I889" s="136">
        <f t="shared" si="27"/>
        <v>0</v>
      </c>
      <c r="J889" s="73"/>
    </row>
    <row r="890" spans="1:10" s="5" customFormat="1" ht="18" hidden="1" customHeight="1">
      <c r="A890" s="1069"/>
      <c r="B890" s="244"/>
      <c r="C890" s="383"/>
      <c r="D890" s="383"/>
      <c r="E890" s="433"/>
      <c r="F890" s="55"/>
      <c r="G890" s="55"/>
      <c r="H890" s="136">
        <f t="shared" si="26"/>
        <v>0</v>
      </c>
      <c r="I890" s="136">
        <f t="shared" si="27"/>
        <v>0</v>
      </c>
      <c r="J890" s="73"/>
    </row>
    <row r="891" spans="1:10" s="5" customFormat="1" ht="18" hidden="1" customHeight="1">
      <c r="A891" s="1069"/>
      <c r="B891" s="244"/>
      <c r="C891" s="383"/>
      <c r="D891" s="383"/>
      <c r="E891" s="433"/>
      <c r="F891" s="55"/>
      <c r="G891" s="55"/>
      <c r="H891" s="136">
        <f t="shared" si="26"/>
        <v>0</v>
      </c>
      <c r="I891" s="136">
        <f t="shared" si="27"/>
        <v>0</v>
      </c>
      <c r="J891" s="73"/>
    </row>
    <row r="892" spans="1:10" s="5" customFormat="1" ht="18" hidden="1" customHeight="1">
      <c r="A892" s="1069"/>
      <c r="B892" s="244"/>
      <c r="C892" s="383"/>
      <c r="D892" s="383"/>
      <c r="E892" s="433"/>
      <c r="F892" s="55"/>
      <c r="G892" s="55"/>
      <c r="H892" s="136">
        <f t="shared" si="26"/>
        <v>0</v>
      </c>
      <c r="I892" s="136">
        <f t="shared" si="27"/>
        <v>0</v>
      </c>
      <c r="J892" s="73"/>
    </row>
    <row r="893" spans="1:10" s="5" customFormat="1" ht="18" hidden="1" customHeight="1">
      <c r="A893" s="1069"/>
      <c r="B893" s="244"/>
      <c r="C893" s="383"/>
      <c r="D893" s="383"/>
      <c r="E893" s="433"/>
      <c r="F893" s="55"/>
      <c r="G893" s="55"/>
      <c r="H893" s="136">
        <f t="shared" si="26"/>
        <v>0</v>
      </c>
      <c r="I893" s="136">
        <f t="shared" si="27"/>
        <v>0</v>
      </c>
      <c r="J893" s="73"/>
    </row>
    <row r="894" spans="1:10" s="5" customFormat="1" ht="18" hidden="1" customHeight="1">
      <c r="A894" s="1069"/>
      <c r="B894" s="244"/>
      <c r="C894" s="383"/>
      <c r="D894" s="383"/>
      <c r="E894" s="433"/>
      <c r="F894" s="55"/>
      <c r="G894" s="55"/>
      <c r="H894" s="136">
        <f t="shared" si="26"/>
        <v>0</v>
      </c>
      <c r="I894" s="136">
        <f t="shared" si="27"/>
        <v>0</v>
      </c>
      <c r="J894" s="73"/>
    </row>
    <row r="895" spans="1:10" s="5" customFormat="1" ht="18" hidden="1" customHeight="1">
      <c r="A895" s="1069"/>
      <c r="B895" s="244"/>
      <c r="C895" s="383"/>
      <c r="D895" s="383"/>
      <c r="E895" s="433"/>
      <c r="F895" s="55"/>
      <c r="G895" s="55"/>
      <c r="H895" s="136">
        <f t="shared" si="26"/>
        <v>0</v>
      </c>
      <c r="I895" s="136">
        <f t="shared" si="27"/>
        <v>0</v>
      </c>
      <c r="J895" s="73"/>
    </row>
    <row r="896" spans="1:10" s="5" customFormat="1" ht="18" hidden="1" customHeight="1">
      <c r="A896" s="1069"/>
      <c r="B896" s="244"/>
      <c r="C896" s="383"/>
      <c r="D896" s="383"/>
      <c r="E896" s="433"/>
      <c r="F896" s="55"/>
      <c r="G896" s="55"/>
      <c r="H896" s="136">
        <f t="shared" si="26"/>
        <v>0</v>
      </c>
      <c r="I896" s="136">
        <f t="shared" si="27"/>
        <v>0</v>
      </c>
      <c r="J896" s="73"/>
    </row>
    <row r="897" spans="1:10" s="5" customFormat="1" ht="18" hidden="1" customHeight="1">
      <c r="A897" s="1069"/>
      <c r="B897" s="244"/>
      <c r="C897" s="383"/>
      <c r="D897" s="383"/>
      <c r="E897" s="433"/>
      <c r="F897" s="55"/>
      <c r="G897" s="55"/>
      <c r="H897" s="136">
        <f t="shared" si="26"/>
        <v>0</v>
      </c>
      <c r="I897" s="136">
        <f t="shared" si="27"/>
        <v>0</v>
      </c>
      <c r="J897" s="73"/>
    </row>
    <row r="898" spans="1:10" s="5" customFormat="1" ht="18" hidden="1" customHeight="1">
      <c r="A898" s="1069"/>
      <c r="B898" s="244"/>
      <c r="C898" s="383"/>
      <c r="D898" s="383"/>
      <c r="E898" s="433"/>
      <c r="F898" s="55"/>
      <c r="G898" s="55"/>
      <c r="H898" s="136">
        <f t="shared" si="26"/>
        <v>0</v>
      </c>
      <c r="I898" s="136">
        <f t="shared" si="27"/>
        <v>0</v>
      </c>
      <c r="J898" s="73"/>
    </row>
    <row r="899" spans="1:10" s="5" customFormat="1" ht="18" hidden="1" customHeight="1">
      <c r="A899" s="1069"/>
      <c r="B899" s="244"/>
      <c r="C899" s="383"/>
      <c r="D899" s="383"/>
      <c r="E899" s="433"/>
      <c r="F899" s="55"/>
      <c r="G899" s="55"/>
      <c r="H899" s="136">
        <f t="shared" si="26"/>
        <v>0</v>
      </c>
      <c r="I899" s="136">
        <f t="shared" si="27"/>
        <v>0</v>
      </c>
      <c r="J899" s="73"/>
    </row>
    <row r="900" spans="1:10" s="5" customFormat="1" ht="18" hidden="1" customHeight="1">
      <c r="A900" s="1069"/>
      <c r="B900" s="244"/>
      <c r="C900" s="383"/>
      <c r="D900" s="383"/>
      <c r="E900" s="433"/>
      <c r="F900" s="55"/>
      <c r="G900" s="55"/>
      <c r="H900" s="136">
        <f t="shared" si="26"/>
        <v>0</v>
      </c>
      <c r="I900" s="136">
        <f t="shared" si="27"/>
        <v>0</v>
      </c>
      <c r="J900" s="73"/>
    </row>
    <row r="901" spans="1:10" s="5" customFormat="1" ht="18" hidden="1" customHeight="1">
      <c r="A901" s="1069"/>
      <c r="B901" s="244"/>
      <c r="C901" s="383"/>
      <c r="D901" s="383"/>
      <c r="E901" s="433"/>
      <c r="F901" s="55"/>
      <c r="G901" s="55"/>
      <c r="H901" s="136">
        <f t="shared" si="26"/>
        <v>0</v>
      </c>
      <c r="I901" s="136">
        <f t="shared" si="27"/>
        <v>0</v>
      </c>
      <c r="J901" s="73"/>
    </row>
    <row r="902" spans="1:10" s="5" customFormat="1" ht="18" hidden="1" customHeight="1">
      <c r="A902" s="1069"/>
      <c r="B902" s="244"/>
      <c r="C902" s="383"/>
      <c r="D902" s="383"/>
      <c r="E902" s="433"/>
      <c r="F902" s="55"/>
      <c r="G902" s="55"/>
      <c r="H902" s="136">
        <f t="shared" si="26"/>
        <v>0</v>
      </c>
      <c r="I902" s="136">
        <f t="shared" si="27"/>
        <v>0</v>
      </c>
      <c r="J902" s="73"/>
    </row>
    <row r="903" spans="1:10" s="5" customFormat="1" ht="18" hidden="1" customHeight="1">
      <c r="A903" s="1069"/>
      <c r="B903" s="244"/>
      <c r="C903" s="383"/>
      <c r="D903" s="383"/>
      <c r="E903" s="433"/>
      <c r="F903" s="55"/>
      <c r="G903" s="55"/>
      <c r="H903" s="136">
        <f t="shared" si="26"/>
        <v>0</v>
      </c>
      <c r="I903" s="136">
        <f t="shared" si="27"/>
        <v>0</v>
      </c>
      <c r="J903" s="73"/>
    </row>
    <row r="904" spans="1:10" s="5" customFormat="1" ht="18" hidden="1" customHeight="1">
      <c r="A904" s="1069"/>
      <c r="B904" s="244"/>
      <c r="C904" s="383"/>
      <c r="D904" s="383"/>
      <c r="E904" s="433"/>
      <c r="F904" s="55"/>
      <c r="G904" s="55"/>
      <c r="H904" s="136">
        <f t="shared" si="26"/>
        <v>0</v>
      </c>
      <c r="I904" s="136">
        <f t="shared" si="27"/>
        <v>0</v>
      </c>
      <c r="J904" s="73"/>
    </row>
    <row r="905" spans="1:10" s="5" customFormat="1" ht="18" hidden="1" customHeight="1">
      <c r="A905" s="1069"/>
      <c r="B905" s="244"/>
      <c r="C905" s="383"/>
      <c r="D905" s="383"/>
      <c r="E905" s="433"/>
      <c r="F905" s="55"/>
      <c r="G905" s="55"/>
      <c r="H905" s="136">
        <f t="shared" ref="H905:H968" si="28">E905+D905-C905</f>
        <v>0</v>
      </c>
      <c r="I905" s="136">
        <f t="shared" ref="I905:I968" si="29">SUM(C905:E905)</f>
        <v>0</v>
      </c>
      <c r="J905" s="73"/>
    </row>
    <row r="906" spans="1:10" s="5" customFormat="1" ht="18" hidden="1" customHeight="1">
      <c r="A906" s="1069"/>
      <c r="B906" s="244"/>
      <c r="C906" s="383"/>
      <c r="D906" s="383"/>
      <c r="E906" s="433"/>
      <c r="F906" s="55"/>
      <c r="G906" s="55"/>
      <c r="H906" s="136">
        <f t="shared" si="28"/>
        <v>0</v>
      </c>
      <c r="I906" s="136">
        <f t="shared" si="29"/>
        <v>0</v>
      </c>
      <c r="J906" s="73"/>
    </row>
    <row r="907" spans="1:10" s="5" customFormat="1" ht="18" hidden="1" customHeight="1">
      <c r="A907" s="1069"/>
      <c r="B907" s="244"/>
      <c r="C907" s="383"/>
      <c r="D907" s="383"/>
      <c r="E907" s="433"/>
      <c r="F907" s="55"/>
      <c r="G907" s="55"/>
      <c r="H907" s="136">
        <f t="shared" si="28"/>
        <v>0</v>
      </c>
      <c r="I907" s="136">
        <f t="shared" si="29"/>
        <v>0</v>
      </c>
      <c r="J907" s="73"/>
    </row>
    <row r="908" spans="1:10">
      <c r="A908" s="1068"/>
      <c r="B908" s="461" t="s">
        <v>253</v>
      </c>
      <c r="C908" s="470">
        <f>SUM(C787:C907)</f>
        <v>405040</v>
      </c>
      <c r="D908" s="470">
        <f>SUM(D787:D907)</f>
        <v>200000</v>
      </c>
      <c r="E908" s="470">
        <f>SUM(E787:E907)</f>
        <v>205040</v>
      </c>
      <c r="F908" s="75">
        <f>SUM(F787:F799)</f>
        <v>0</v>
      </c>
      <c r="G908" s="75">
        <f>SUM(G787:G799)</f>
        <v>161690.4</v>
      </c>
      <c r="H908" s="459">
        <f t="shared" si="28"/>
        <v>0</v>
      </c>
      <c r="I908" s="459">
        <f t="shared" si="29"/>
        <v>810080</v>
      </c>
      <c r="J908" s="460"/>
    </row>
    <row r="909" spans="1:10" ht="170.45" customHeight="1">
      <c r="A909" s="1068" t="s">
        <v>103</v>
      </c>
      <c r="B909" s="310" t="s">
        <v>3107</v>
      </c>
      <c r="C909" s="469">
        <f>3000000-79872+60000</f>
        <v>2980128</v>
      </c>
      <c r="D909" s="469"/>
      <c r="E909" s="469">
        <f>3000000-79872+60000</f>
        <v>2980128</v>
      </c>
      <c r="F909" s="414"/>
      <c r="G909" s="414"/>
      <c r="H909" s="459">
        <f t="shared" si="28"/>
        <v>0</v>
      </c>
      <c r="I909" s="459">
        <f t="shared" si="29"/>
        <v>5960256</v>
      </c>
      <c r="J909" s="460"/>
    </row>
    <row r="910" spans="1:10" ht="93.75">
      <c r="A910" s="1068"/>
      <c r="B910" s="310" t="s">
        <v>1821</v>
      </c>
      <c r="C910" s="453">
        <v>74000</v>
      </c>
      <c r="D910" s="453"/>
      <c r="E910" s="453">
        <v>74000</v>
      </c>
      <c r="F910" s="55"/>
      <c r="G910" s="55"/>
      <c r="H910" s="459">
        <f t="shared" si="28"/>
        <v>0</v>
      </c>
      <c r="I910" s="459">
        <f t="shared" si="29"/>
        <v>148000</v>
      </c>
      <c r="J910" s="460"/>
    </row>
    <row r="911" spans="1:10" ht="131.25">
      <c r="A911" s="1068"/>
      <c r="B911" s="310" t="s">
        <v>1681</v>
      </c>
      <c r="C911" s="455">
        <v>28673</v>
      </c>
      <c r="D911" s="455"/>
      <c r="E911" s="455">
        <v>28673</v>
      </c>
      <c r="F911" s="55"/>
      <c r="G911" s="55"/>
      <c r="H911" s="459">
        <f t="shared" si="28"/>
        <v>0</v>
      </c>
      <c r="I911" s="459">
        <f t="shared" si="29"/>
        <v>57346</v>
      </c>
      <c r="J911" s="460"/>
    </row>
    <row r="912" spans="1:10" s="5" customFormat="1" hidden="1">
      <c r="A912" s="1069"/>
      <c r="B912" s="244"/>
      <c r="C912" s="383"/>
      <c r="D912" s="383"/>
      <c r="E912" s="383"/>
      <c r="F912" s="55"/>
      <c r="G912" s="55"/>
      <c r="H912" s="136">
        <f t="shared" si="28"/>
        <v>0</v>
      </c>
      <c r="I912" s="136">
        <f t="shared" si="29"/>
        <v>0</v>
      </c>
      <c r="J912" s="73"/>
    </row>
    <row r="913" spans="1:10" s="5" customFormat="1" hidden="1">
      <c r="A913" s="1069"/>
      <c r="B913" s="244"/>
      <c r="C913" s="383"/>
      <c r="D913" s="383"/>
      <c r="E913" s="383"/>
      <c r="F913" s="55"/>
      <c r="G913" s="55"/>
      <c r="H913" s="136">
        <f t="shared" si="28"/>
        <v>0</v>
      </c>
      <c r="I913" s="136">
        <f t="shared" si="29"/>
        <v>0</v>
      </c>
      <c r="J913" s="73"/>
    </row>
    <row r="914" spans="1:10" s="5" customFormat="1" hidden="1">
      <c r="A914" s="1069"/>
      <c r="B914" s="244"/>
      <c r="C914" s="430"/>
      <c r="D914" s="383"/>
      <c r="E914" s="383"/>
      <c r="F914" s="55"/>
      <c r="G914" s="55"/>
      <c r="H914" s="136">
        <f t="shared" si="28"/>
        <v>0</v>
      </c>
      <c r="I914" s="136">
        <f t="shared" si="29"/>
        <v>0</v>
      </c>
      <c r="J914" s="73"/>
    </row>
    <row r="915" spans="1:10" s="5" customFormat="1" hidden="1">
      <c r="A915" s="1069"/>
      <c r="B915" s="244"/>
      <c r="C915" s="430"/>
      <c r="D915" s="430"/>
      <c r="E915" s="430"/>
      <c r="F915" s="55"/>
      <c r="G915" s="55"/>
      <c r="H915" s="136">
        <f t="shared" si="28"/>
        <v>0</v>
      </c>
      <c r="I915" s="136">
        <f t="shared" si="29"/>
        <v>0</v>
      </c>
      <c r="J915" s="73"/>
    </row>
    <row r="916" spans="1:10" s="5" customFormat="1" hidden="1">
      <c r="A916" s="1069"/>
      <c r="B916" s="244"/>
      <c r="C916" s="430"/>
      <c r="D916" s="430"/>
      <c r="E916" s="430"/>
      <c r="F916" s="55"/>
      <c r="G916" s="55"/>
      <c r="H916" s="136">
        <f t="shared" si="28"/>
        <v>0</v>
      </c>
      <c r="I916" s="136">
        <f t="shared" si="29"/>
        <v>0</v>
      </c>
      <c r="J916" s="73"/>
    </row>
    <row r="917" spans="1:10" s="5" customFormat="1" hidden="1">
      <c r="A917" s="1069"/>
      <c r="B917" s="244"/>
      <c r="C917" s="383"/>
      <c r="D917" s="383"/>
      <c r="E917" s="430"/>
      <c r="F917" s="55"/>
      <c r="G917" s="55"/>
      <c r="H917" s="136">
        <f t="shared" si="28"/>
        <v>0</v>
      </c>
      <c r="I917" s="136">
        <f t="shared" si="29"/>
        <v>0</v>
      </c>
      <c r="J917" s="73"/>
    </row>
    <row r="918" spans="1:10" s="5" customFormat="1" hidden="1">
      <c r="A918" s="1069"/>
      <c r="B918" s="244"/>
      <c r="C918" s="383"/>
      <c r="D918" s="383"/>
      <c r="E918" s="430"/>
      <c r="F918" s="55"/>
      <c r="G918" s="55"/>
      <c r="H918" s="136">
        <f t="shared" si="28"/>
        <v>0</v>
      </c>
      <c r="I918" s="136">
        <f t="shared" si="29"/>
        <v>0</v>
      </c>
      <c r="J918" s="73"/>
    </row>
    <row r="919" spans="1:10" s="5" customFormat="1" hidden="1">
      <c r="A919" s="1069"/>
      <c r="B919" s="244"/>
      <c r="C919" s="383"/>
      <c r="D919" s="383"/>
      <c r="E919" s="430"/>
      <c r="F919" s="55"/>
      <c r="G919" s="55"/>
      <c r="H919" s="136">
        <f t="shared" si="28"/>
        <v>0</v>
      </c>
      <c r="I919" s="136">
        <f t="shared" si="29"/>
        <v>0</v>
      </c>
      <c r="J919" s="73"/>
    </row>
    <row r="920" spans="1:10" s="5" customFormat="1" hidden="1">
      <c r="A920" s="1069"/>
      <c r="B920" s="244"/>
      <c r="C920" s="383"/>
      <c r="D920" s="383"/>
      <c r="E920" s="383"/>
      <c r="F920" s="55"/>
      <c r="G920" s="55"/>
      <c r="H920" s="136">
        <f t="shared" si="28"/>
        <v>0</v>
      </c>
      <c r="I920" s="136">
        <f t="shared" si="29"/>
        <v>0</v>
      </c>
      <c r="J920" s="73"/>
    </row>
    <row r="921" spans="1:10" s="5" customFormat="1" hidden="1">
      <c r="A921" s="1069"/>
      <c r="B921" s="244"/>
      <c r="C921" s="383"/>
      <c r="D921" s="383"/>
      <c r="E921" s="430"/>
      <c r="F921" s="55"/>
      <c r="G921" s="55"/>
      <c r="H921" s="136">
        <f t="shared" si="28"/>
        <v>0</v>
      </c>
      <c r="I921" s="136">
        <f t="shared" si="29"/>
        <v>0</v>
      </c>
      <c r="J921" s="73"/>
    </row>
    <row r="922" spans="1:10" s="5" customFormat="1" hidden="1">
      <c r="A922" s="1069"/>
      <c r="B922" s="244"/>
      <c r="C922" s="430"/>
      <c r="D922" s="430"/>
      <c r="E922" s="430"/>
      <c r="F922" s="55"/>
      <c r="G922" s="55"/>
      <c r="H922" s="136">
        <f t="shared" si="28"/>
        <v>0</v>
      </c>
      <c r="I922" s="136">
        <f t="shared" si="29"/>
        <v>0</v>
      </c>
      <c r="J922" s="73"/>
    </row>
    <row r="923" spans="1:10" s="5" customFormat="1" hidden="1">
      <c r="A923" s="1069"/>
      <c r="B923" s="244"/>
      <c r="C923" s="430"/>
      <c r="D923" s="430"/>
      <c r="E923" s="430"/>
      <c r="F923" s="55"/>
      <c r="G923" s="55"/>
      <c r="H923" s="136">
        <f t="shared" si="28"/>
        <v>0</v>
      </c>
      <c r="I923" s="136">
        <f t="shared" si="29"/>
        <v>0</v>
      </c>
      <c r="J923" s="73"/>
    </row>
    <row r="924" spans="1:10" s="5" customFormat="1" hidden="1">
      <c r="A924" s="1069"/>
      <c r="B924" s="244"/>
      <c r="C924" s="430"/>
      <c r="D924" s="430"/>
      <c r="E924" s="430"/>
      <c r="F924" s="55"/>
      <c r="G924" s="55"/>
      <c r="H924" s="136">
        <f t="shared" si="28"/>
        <v>0</v>
      </c>
      <c r="I924" s="136">
        <f t="shared" si="29"/>
        <v>0</v>
      </c>
      <c r="J924" s="73"/>
    </row>
    <row r="925" spans="1:10" s="5" customFormat="1" hidden="1">
      <c r="A925" s="1069"/>
      <c r="B925" s="244"/>
      <c r="C925" s="430"/>
      <c r="D925" s="430"/>
      <c r="E925" s="430"/>
      <c r="F925" s="55"/>
      <c r="G925" s="55"/>
      <c r="H925" s="136">
        <f t="shared" si="28"/>
        <v>0</v>
      </c>
      <c r="I925" s="136">
        <f t="shared" si="29"/>
        <v>0</v>
      </c>
      <c r="J925" s="73"/>
    </row>
    <row r="926" spans="1:10" s="5" customFormat="1" hidden="1">
      <c r="A926" s="1069"/>
      <c r="B926" s="244"/>
      <c r="C926" s="430"/>
      <c r="D926" s="430"/>
      <c r="E926" s="430"/>
      <c r="F926" s="55"/>
      <c r="G926" s="55"/>
      <c r="H926" s="136">
        <f t="shared" si="28"/>
        <v>0</v>
      </c>
      <c r="I926" s="136">
        <f t="shared" si="29"/>
        <v>0</v>
      </c>
      <c r="J926" s="73"/>
    </row>
    <row r="927" spans="1:10" s="5" customFormat="1" hidden="1">
      <c r="A927" s="1069"/>
      <c r="B927" s="244"/>
      <c r="C927" s="430"/>
      <c r="D927" s="430"/>
      <c r="E927" s="430"/>
      <c r="F927" s="55"/>
      <c r="G927" s="55"/>
      <c r="H927" s="136">
        <f t="shared" si="28"/>
        <v>0</v>
      </c>
      <c r="I927" s="136">
        <f t="shared" si="29"/>
        <v>0</v>
      </c>
      <c r="J927" s="73"/>
    </row>
    <row r="928" spans="1:10" s="5" customFormat="1" hidden="1">
      <c r="A928" s="1069"/>
      <c r="B928" s="246"/>
      <c r="C928" s="431"/>
      <c r="D928" s="431"/>
      <c r="E928" s="432"/>
      <c r="F928" s="55"/>
      <c r="G928" s="55"/>
      <c r="H928" s="136">
        <f t="shared" si="28"/>
        <v>0</v>
      </c>
      <c r="I928" s="136">
        <f t="shared" si="29"/>
        <v>0</v>
      </c>
      <c r="J928" s="73"/>
    </row>
    <row r="929" spans="1:10" s="5" customFormat="1" hidden="1">
      <c r="A929" s="1069"/>
      <c r="B929" s="246"/>
      <c r="C929" s="431"/>
      <c r="D929" s="431"/>
      <c r="E929" s="432"/>
      <c r="F929" s="55"/>
      <c r="G929" s="55"/>
      <c r="H929" s="136">
        <f t="shared" si="28"/>
        <v>0</v>
      </c>
      <c r="I929" s="136">
        <f t="shared" si="29"/>
        <v>0</v>
      </c>
      <c r="J929" s="73"/>
    </row>
    <row r="930" spans="1:10" s="5" customFormat="1" hidden="1">
      <c r="A930" s="1069"/>
      <c r="B930" s="246"/>
      <c r="C930" s="431"/>
      <c r="D930" s="431"/>
      <c r="E930" s="432"/>
      <c r="F930" s="55"/>
      <c r="G930" s="55"/>
      <c r="H930" s="136">
        <f t="shared" si="28"/>
        <v>0</v>
      </c>
      <c r="I930" s="136">
        <f t="shared" si="29"/>
        <v>0</v>
      </c>
      <c r="J930" s="73"/>
    </row>
    <row r="931" spans="1:10" s="5" customFormat="1" hidden="1">
      <c r="A931" s="1069"/>
      <c r="B931" s="246"/>
      <c r="C931" s="431"/>
      <c r="D931" s="431"/>
      <c r="E931" s="432"/>
      <c r="F931" s="55"/>
      <c r="G931" s="55"/>
      <c r="H931" s="136">
        <f t="shared" si="28"/>
        <v>0</v>
      </c>
      <c r="I931" s="136">
        <f t="shared" si="29"/>
        <v>0</v>
      </c>
      <c r="J931" s="73"/>
    </row>
    <row r="932" spans="1:10" s="5" customFormat="1" hidden="1">
      <c r="A932" s="1069"/>
      <c r="B932" s="246"/>
      <c r="C932" s="431"/>
      <c r="D932" s="431"/>
      <c r="E932" s="432"/>
      <c r="F932" s="55"/>
      <c r="G932" s="55"/>
      <c r="H932" s="136">
        <f t="shared" si="28"/>
        <v>0</v>
      </c>
      <c r="I932" s="136">
        <f t="shared" si="29"/>
        <v>0</v>
      </c>
      <c r="J932" s="73"/>
    </row>
    <row r="933" spans="1:10" s="5" customFormat="1" hidden="1">
      <c r="A933" s="1069"/>
      <c r="B933" s="246"/>
      <c r="C933" s="431"/>
      <c r="D933" s="431"/>
      <c r="E933" s="432"/>
      <c r="F933" s="55"/>
      <c r="G933" s="55"/>
      <c r="H933" s="136">
        <f t="shared" si="28"/>
        <v>0</v>
      </c>
      <c r="I933" s="136">
        <f t="shared" si="29"/>
        <v>0</v>
      </c>
      <c r="J933" s="73"/>
    </row>
    <row r="934" spans="1:10" s="5" customFormat="1" hidden="1">
      <c r="A934" s="1069"/>
      <c r="B934" s="244"/>
      <c r="C934" s="434"/>
      <c r="D934" s="434"/>
      <c r="E934" s="436"/>
      <c r="F934" s="55"/>
      <c r="G934" s="55"/>
      <c r="H934" s="136">
        <f t="shared" si="28"/>
        <v>0</v>
      </c>
      <c r="I934" s="136">
        <f t="shared" si="29"/>
        <v>0</v>
      </c>
      <c r="J934" s="73"/>
    </row>
    <row r="935" spans="1:10" s="5" customFormat="1" hidden="1">
      <c r="A935" s="1069"/>
      <c r="B935" s="244"/>
      <c r="C935" s="383"/>
      <c r="D935" s="383"/>
      <c r="E935" s="383"/>
      <c r="F935" s="55"/>
      <c r="G935" s="55"/>
      <c r="H935" s="136">
        <f t="shared" si="28"/>
        <v>0</v>
      </c>
      <c r="I935" s="136">
        <f t="shared" si="29"/>
        <v>0</v>
      </c>
      <c r="J935" s="73"/>
    </row>
    <row r="936" spans="1:10" s="5" customFormat="1" hidden="1">
      <c r="A936" s="1069"/>
      <c r="B936" s="244"/>
      <c r="C936" s="383"/>
      <c r="D936" s="383"/>
      <c r="E936" s="383"/>
      <c r="F936" s="55"/>
      <c r="G936" s="55"/>
      <c r="H936" s="136">
        <f t="shared" si="28"/>
        <v>0</v>
      </c>
      <c r="I936" s="136">
        <f t="shared" si="29"/>
        <v>0</v>
      </c>
      <c r="J936" s="73"/>
    </row>
    <row r="937" spans="1:10" s="5" customFormat="1" hidden="1">
      <c r="A937" s="1069"/>
      <c r="B937" s="244"/>
      <c r="C937" s="383"/>
      <c r="D937" s="383"/>
      <c r="E937" s="383"/>
      <c r="F937" s="55"/>
      <c r="G937" s="55"/>
      <c r="H937" s="136">
        <f t="shared" si="28"/>
        <v>0</v>
      </c>
      <c r="I937" s="136">
        <f t="shared" si="29"/>
        <v>0</v>
      </c>
      <c r="J937" s="73"/>
    </row>
    <row r="938" spans="1:10" s="5" customFormat="1" hidden="1">
      <c r="A938" s="1069"/>
      <c r="B938" s="244"/>
      <c r="C938" s="383"/>
      <c r="D938" s="383"/>
      <c r="E938" s="383"/>
      <c r="F938" s="55"/>
      <c r="G938" s="55"/>
      <c r="H938" s="136">
        <f t="shared" si="28"/>
        <v>0</v>
      </c>
      <c r="I938" s="136">
        <f t="shared" si="29"/>
        <v>0</v>
      </c>
      <c r="J938" s="73"/>
    </row>
    <row r="939" spans="1:10" s="5" customFormat="1" hidden="1">
      <c r="A939" s="1069"/>
      <c r="B939" s="244"/>
      <c r="C939" s="383"/>
      <c r="D939" s="383"/>
      <c r="E939" s="383"/>
      <c r="F939" s="55"/>
      <c r="G939" s="55"/>
      <c r="H939" s="136">
        <f t="shared" si="28"/>
        <v>0</v>
      </c>
      <c r="I939" s="136">
        <f t="shared" si="29"/>
        <v>0</v>
      </c>
      <c r="J939" s="73"/>
    </row>
    <row r="940" spans="1:10" s="5" customFormat="1" hidden="1">
      <c r="A940" s="1069"/>
      <c r="B940" s="244"/>
      <c r="C940" s="383"/>
      <c r="D940" s="383"/>
      <c r="E940" s="383"/>
      <c r="F940" s="55"/>
      <c r="G940" s="55"/>
      <c r="H940" s="136">
        <f t="shared" si="28"/>
        <v>0</v>
      </c>
      <c r="I940" s="136">
        <f t="shared" si="29"/>
        <v>0</v>
      </c>
      <c r="J940" s="73"/>
    </row>
    <row r="941" spans="1:10" s="5" customFormat="1" hidden="1">
      <c r="A941" s="1069"/>
      <c r="B941" s="244"/>
      <c r="C941" s="383"/>
      <c r="D941" s="383"/>
      <c r="E941" s="383"/>
      <c r="F941" s="55"/>
      <c r="G941" s="55"/>
      <c r="H941" s="136">
        <f t="shared" si="28"/>
        <v>0</v>
      </c>
      <c r="I941" s="136">
        <f t="shared" si="29"/>
        <v>0</v>
      </c>
      <c r="J941" s="73"/>
    </row>
    <row r="942" spans="1:10" s="5" customFormat="1" hidden="1">
      <c r="A942" s="1069"/>
      <c r="B942" s="244"/>
      <c r="C942" s="383"/>
      <c r="D942" s="383"/>
      <c r="E942" s="383"/>
      <c r="F942" s="55"/>
      <c r="G942" s="55"/>
      <c r="H942" s="136">
        <f t="shared" si="28"/>
        <v>0</v>
      </c>
      <c r="I942" s="136">
        <f t="shared" si="29"/>
        <v>0</v>
      </c>
      <c r="J942" s="73"/>
    </row>
    <row r="943" spans="1:10">
      <c r="A943" s="1068"/>
      <c r="B943" s="461" t="s">
        <v>253</v>
      </c>
      <c r="C943" s="462">
        <f>SUM(C909:C942)</f>
        <v>3082801</v>
      </c>
      <c r="D943" s="462">
        <f>SUM(D909:D942)</f>
        <v>0</v>
      </c>
      <c r="E943" s="462">
        <f>SUM(E909:E942)</f>
        <v>3082801</v>
      </c>
      <c r="F943" s="75">
        <f>SUM(F909:F920)</f>
        <v>0</v>
      </c>
      <c r="G943" s="75">
        <f>SUM(G909:G920)</f>
        <v>0</v>
      </c>
      <c r="H943" s="459">
        <f t="shared" si="28"/>
        <v>0</v>
      </c>
      <c r="I943" s="459">
        <f t="shared" si="29"/>
        <v>6165602</v>
      </c>
      <c r="J943" s="460"/>
    </row>
    <row r="944" spans="1:10" s="5" customFormat="1" hidden="1">
      <c r="A944" s="1069" t="s">
        <v>368</v>
      </c>
      <c r="B944" s="244"/>
      <c r="C944" s="383"/>
      <c r="D944" s="383"/>
      <c r="E944" s="383"/>
      <c r="F944" s="138"/>
      <c r="G944" s="138"/>
      <c r="H944" s="136">
        <f t="shared" si="28"/>
        <v>0</v>
      </c>
      <c r="I944" s="136">
        <f t="shared" si="29"/>
        <v>0</v>
      </c>
      <c r="J944" s="73"/>
    </row>
    <row r="945" spans="1:10" s="5" customFormat="1" hidden="1">
      <c r="A945" s="1069"/>
      <c r="B945" s="244"/>
      <c r="C945" s="383"/>
      <c r="D945" s="383"/>
      <c r="E945" s="430"/>
      <c r="F945" s="55"/>
      <c r="G945" s="55"/>
      <c r="H945" s="136">
        <f t="shared" si="28"/>
        <v>0</v>
      </c>
      <c r="I945" s="136">
        <f t="shared" si="29"/>
        <v>0</v>
      </c>
      <c r="J945" s="73"/>
    </row>
    <row r="946" spans="1:10" s="5" customFormat="1" hidden="1">
      <c r="A946" s="1069"/>
      <c r="B946" s="244"/>
      <c r="C946" s="383"/>
      <c r="D946" s="383"/>
      <c r="E946" s="430"/>
      <c r="F946" s="55"/>
      <c r="G946" s="55"/>
      <c r="H946" s="136">
        <f t="shared" si="28"/>
        <v>0</v>
      </c>
      <c r="I946" s="136">
        <f t="shared" si="29"/>
        <v>0</v>
      </c>
      <c r="J946" s="73"/>
    </row>
    <row r="947" spans="1:10" s="5" customFormat="1" hidden="1">
      <c r="A947" s="1069"/>
      <c r="B947" s="244"/>
      <c r="C947" s="383"/>
      <c r="D947" s="383"/>
      <c r="E947" s="430"/>
      <c r="F947" s="55"/>
      <c r="G947" s="55"/>
      <c r="H947" s="136">
        <f t="shared" si="28"/>
        <v>0</v>
      </c>
      <c r="I947" s="136">
        <f t="shared" si="29"/>
        <v>0</v>
      </c>
      <c r="J947" s="73"/>
    </row>
    <row r="948" spans="1:10" s="5" customFormat="1" hidden="1">
      <c r="A948" s="1069"/>
      <c r="B948" s="244"/>
      <c r="C948" s="383"/>
      <c r="D948" s="383"/>
      <c r="E948" s="430"/>
      <c r="F948" s="55"/>
      <c r="G948" s="55"/>
      <c r="H948" s="136">
        <f t="shared" si="28"/>
        <v>0</v>
      </c>
      <c r="I948" s="136">
        <f t="shared" si="29"/>
        <v>0</v>
      </c>
      <c r="J948" s="73"/>
    </row>
    <row r="949" spans="1:10" s="5" customFormat="1" hidden="1">
      <c r="A949" s="1069"/>
      <c r="B949" s="244"/>
      <c r="C949" s="383"/>
      <c r="D949" s="383"/>
      <c r="E949" s="430"/>
      <c r="F949" s="55"/>
      <c r="G949" s="55"/>
      <c r="H949" s="136">
        <f t="shared" si="28"/>
        <v>0</v>
      </c>
      <c r="I949" s="136">
        <f t="shared" si="29"/>
        <v>0</v>
      </c>
      <c r="J949" s="73"/>
    </row>
    <row r="950" spans="1:10" s="5" customFormat="1" hidden="1">
      <c r="A950" s="1069"/>
      <c r="B950" s="244"/>
      <c r="C950" s="383"/>
      <c r="D950" s="383"/>
      <c r="E950" s="430"/>
      <c r="F950" s="55"/>
      <c r="G950" s="55"/>
      <c r="H950" s="136">
        <f t="shared" si="28"/>
        <v>0</v>
      </c>
      <c r="I950" s="136">
        <f t="shared" si="29"/>
        <v>0</v>
      </c>
      <c r="J950" s="73"/>
    </row>
    <row r="951" spans="1:10" s="5" customFormat="1" hidden="1">
      <c r="A951" s="1069"/>
      <c r="B951" s="244"/>
      <c r="C951" s="383"/>
      <c r="D951" s="383"/>
      <c r="E951" s="430"/>
      <c r="F951" s="55"/>
      <c r="G951" s="55"/>
      <c r="H951" s="136">
        <f t="shared" si="28"/>
        <v>0</v>
      </c>
      <c r="I951" s="136">
        <f t="shared" si="29"/>
        <v>0</v>
      </c>
      <c r="J951" s="73"/>
    </row>
    <row r="952" spans="1:10" s="5" customFormat="1" hidden="1">
      <c r="A952" s="1069"/>
      <c r="B952" s="244"/>
      <c r="C952" s="383"/>
      <c r="D952" s="383"/>
      <c r="E952" s="430"/>
      <c r="F952" s="55"/>
      <c r="G952" s="55"/>
      <c r="H952" s="136">
        <f t="shared" si="28"/>
        <v>0</v>
      </c>
      <c r="I952" s="136">
        <f t="shared" si="29"/>
        <v>0</v>
      </c>
      <c r="J952" s="73"/>
    </row>
    <row r="953" spans="1:10" s="5" customFormat="1" hidden="1">
      <c r="A953" s="1069"/>
      <c r="B953" s="244"/>
      <c r="C953" s="383"/>
      <c r="D953" s="383"/>
      <c r="E953" s="430"/>
      <c r="F953" s="55"/>
      <c r="G953" s="55"/>
      <c r="H953" s="136">
        <f t="shared" si="28"/>
        <v>0</v>
      </c>
      <c r="I953" s="136">
        <f t="shared" si="29"/>
        <v>0</v>
      </c>
      <c r="J953" s="73"/>
    </row>
    <row r="954" spans="1:10" s="5" customFormat="1" hidden="1">
      <c r="A954" s="1069"/>
      <c r="B954" s="244"/>
      <c r="C954" s="383"/>
      <c r="D954" s="383"/>
      <c r="E954" s="430"/>
      <c r="F954" s="55"/>
      <c r="G954" s="55"/>
      <c r="H954" s="136">
        <f t="shared" si="28"/>
        <v>0</v>
      </c>
      <c r="I954" s="136">
        <f t="shared" si="29"/>
        <v>0</v>
      </c>
      <c r="J954" s="73"/>
    </row>
    <row r="955" spans="1:10" s="5" customFormat="1" hidden="1">
      <c r="A955" s="1069"/>
      <c r="B955" s="244"/>
      <c r="C955" s="383"/>
      <c r="D955" s="383"/>
      <c r="E955" s="430"/>
      <c r="F955" s="55"/>
      <c r="G955" s="55"/>
      <c r="H955" s="136">
        <f t="shared" si="28"/>
        <v>0</v>
      </c>
      <c r="I955" s="136">
        <f t="shared" si="29"/>
        <v>0</v>
      </c>
      <c r="J955" s="73"/>
    </row>
    <row r="956" spans="1:10" s="5" customFormat="1" hidden="1">
      <c r="A956" s="1069"/>
      <c r="B956" s="244"/>
      <c r="C956" s="383"/>
      <c r="D956" s="383"/>
      <c r="E956" s="430"/>
      <c r="F956" s="55"/>
      <c r="G956" s="55"/>
      <c r="H956" s="136">
        <f t="shared" si="28"/>
        <v>0</v>
      </c>
      <c r="I956" s="136">
        <f t="shared" si="29"/>
        <v>0</v>
      </c>
      <c r="J956" s="73"/>
    </row>
    <row r="957" spans="1:10" s="5" customFormat="1" hidden="1">
      <c r="A957" s="1069"/>
      <c r="B957" s="244"/>
      <c r="C957" s="383"/>
      <c r="D957" s="383"/>
      <c r="E957" s="430"/>
      <c r="F957" s="55"/>
      <c r="G957" s="55"/>
      <c r="H957" s="136">
        <f t="shared" si="28"/>
        <v>0</v>
      </c>
      <c r="I957" s="136">
        <f t="shared" si="29"/>
        <v>0</v>
      </c>
      <c r="J957" s="73"/>
    </row>
    <row r="958" spans="1:10" s="5" customFormat="1" hidden="1">
      <c r="A958" s="1069"/>
      <c r="B958" s="244"/>
      <c r="C958" s="383"/>
      <c r="D958" s="383"/>
      <c r="E958" s="430"/>
      <c r="F958" s="55"/>
      <c r="G958" s="55"/>
      <c r="H958" s="136">
        <f t="shared" si="28"/>
        <v>0</v>
      </c>
      <c r="I958" s="136">
        <f t="shared" si="29"/>
        <v>0</v>
      </c>
      <c r="J958" s="73"/>
    </row>
    <row r="959" spans="1:10" s="5" customFormat="1" hidden="1">
      <c r="A959" s="1069"/>
      <c r="B959" s="244"/>
      <c r="C959" s="383"/>
      <c r="D959" s="383"/>
      <c r="E959" s="430"/>
      <c r="F959" s="55"/>
      <c r="G959" s="55"/>
      <c r="H959" s="136">
        <f t="shared" si="28"/>
        <v>0</v>
      </c>
      <c r="I959" s="136">
        <f t="shared" si="29"/>
        <v>0</v>
      </c>
      <c r="J959" s="73"/>
    </row>
    <row r="960" spans="1:10" s="5" customFormat="1" hidden="1">
      <c r="A960" s="1069"/>
      <c r="B960" s="244"/>
      <c r="C960" s="383"/>
      <c r="D960" s="383"/>
      <c r="E960" s="430"/>
      <c r="F960" s="55"/>
      <c r="G960" s="55"/>
      <c r="H960" s="136">
        <f t="shared" si="28"/>
        <v>0</v>
      </c>
      <c r="I960" s="136">
        <f t="shared" si="29"/>
        <v>0</v>
      </c>
      <c r="J960" s="73"/>
    </row>
    <row r="961" spans="1:10" s="5" customFormat="1" hidden="1">
      <c r="A961" s="1069"/>
      <c r="B961" s="244"/>
      <c r="C961" s="383"/>
      <c r="D961" s="383"/>
      <c r="E961" s="430"/>
      <c r="F961" s="55"/>
      <c r="G961" s="55"/>
      <c r="H961" s="136">
        <f t="shared" si="28"/>
        <v>0</v>
      </c>
      <c r="I961" s="136">
        <f t="shared" si="29"/>
        <v>0</v>
      </c>
      <c r="J961" s="73"/>
    </row>
    <row r="962" spans="1:10" s="5" customFormat="1" hidden="1">
      <c r="A962" s="1069"/>
      <c r="B962" s="244"/>
      <c r="C962" s="383"/>
      <c r="D962" s="383"/>
      <c r="E962" s="430"/>
      <c r="F962" s="55"/>
      <c r="G962" s="55"/>
      <c r="H962" s="136">
        <f t="shared" si="28"/>
        <v>0</v>
      </c>
      <c r="I962" s="136">
        <f t="shared" si="29"/>
        <v>0</v>
      </c>
      <c r="J962" s="73"/>
    </row>
    <row r="963" spans="1:10" s="5" customFormat="1" hidden="1">
      <c r="A963" s="1069"/>
      <c r="B963" s="244"/>
      <c r="C963" s="383"/>
      <c r="D963" s="383"/>
      <c r="E963" s="430"/>
      <c r="F963" s="55"/>
      <c r="G963" s="55"/>
      <c r="H963" s="136">
        <f t="shared" si="28"/>
        <v>0</v>
      </c>
      <c r="I963" s="136">
        <f t="shared" si="29"/>
        <v>0</v>
      </c>
      <c r="J963" s="73"/>
    </row>
    <row r="964" spans="1:10" s="5" customFormat="1" hidden="1">
      <c r="A964" s="1069"/>
      <c r="B964" s="244"/>
      <c r="C964" s="383"/>
      <c r="D964" s="383"/>
      <c r="E964" s="430"/>
      <c r="F964" s="55"/>
      <c r="G964" s="55"/>
      <c r="H964" s="136">
        <f t="shared" si="28"/>
        <v>0</v>
      </c>
      <c r="I964" s="136">
        <f t="shared" si="29"/>
        <v>0</v>
      </c>
      <c r="J964" s="73"/>
    </row>
    <row r="965" spans="1:10" s="5" customFormat="1" hidden="1">
      <c r="A965" s="1069"/>
      <c r="B965" s="244"/>
      <c r="C965" s="383"/>
      <c r="D965" s="383"/>
      <c r="E965" s="430"/>
      <c r="F965" s="55"/>
      <c r="G965" s="55"/>
      <c r="H965" s="136">
        <f t="shared" si="28"/>
        <v>0</v>
      </c>
      <c r="I965" s="136">
        <f t="shared" si="29"/>
        <v>0</v>
      </c>
      <c r="J965" s="73"/>
    </row>
    <row r="966" spans="1:10" s="5" customFormat="1" hidden="1">
      <c r="A966" s="1069"/>
      <c r="B966" s="244"/>
      <c r="C966" s="383"/>
      <c r="D966" s="383"/>
      <c r="E966" s="430"/>
      <c r="F966" s="55"/>
      <c r="G966" s="55"/>
      <c r="H966" s="136">
        <f t="shared" si="28"/>
        <v>0</v>
      </c>
      <c r="I966" s="136">
        <f t="shared" si="29"/>
        <v>0</v>
      </c>
      <c r="J966" s="73"/>
    </row>
    <row r="967" spans="1:10" s="5" customFormat="1" hidden="1">
      <c r="A967" s="1069"/>
      <c r="B967" s="244"/>
      <c r="C967" s="430"/>
      <c r="D967" s="430"/>
      <c r="E967" s="430"/>
      <c r="F967" s="55"/>
      <c r="G967" s="55"/>
      <c r="H967" s="136">
        <f t="shared" si="28"/>
        <v>0</v>
      </c>
      <c r="I967" s="136">
        <f t="shared" si="29"/>
        <v>0</v>
      </c>
      <c r="J967" s="73"/>
    </row>
    <row r="968" spans="1:10" s="5" customFormat="1" hidden="1">
      <c r="A968" s="1069"/>
      <c r="B968" s="244"/>
      <c r="C968" s="430"/>
      <c r="D968" s="430"/>
      <c r="E968" s="430"/>
      <c r="F968" s="55"/>
      <c r="G968" s="55"/>
      <c r="H968" s="136">
        <f t="shared" si="28"/>
        <v>0</v>
      </c>
      <c r="I968" s="136">
        <f t="shared" si="29"/>
        <v>0</v>
      </c>
      <c r="J968" s="73"/>
    </row>
    <row r="969" spans="1:10" s="5" customFormat="1" hidden="1">
      <c r="A969" s="1069"/>
      <c r="B969" s="244"/>
      <c r="C969" s="430"/>
      <c r="D969" s="430"/>
      <c r="E969" s="430"/>
      <c r="F969" s="55"/>
      <c r="G969" s="55"/>
      <c r="H969" s="136">
        <f t="shared" ref="H969:H1032" si="30">E969+D969-C969</f>
        <v>0</v>
      </c>
      <c r="I969" s="136">
        <f t="shared" ref="I969:I1032" si="31">SUM(C969:E969)</f>
        <v>0</v>
      </c>
      <c r="J969" s="73"/>
    </row>
    <row r="970" spans="1:10" s="5" customFormat="1" hidden="1">
      <c r="A970" s="1069"/>
      <c r="B970" s="244"/>
      <c r="C970" s="430"/>
      <c r="D970" s="430"/>
      <c r="E970" s="430"/>
      <c r="F970" s="55"/>
      <c r="G970" s="55"/>
      <c r="H970" s="136">
        <f t="shared" si="30"/>
        <v>0</v>
      </c>
      <c r="I970" s="136">
        <f t="shared" si="31"/>
        <v>0</v>
      </c>
      <c r="J970" s="73"/>
    </row>
    <row r="971" spans="1:10" s="5" customFormat="1" hidden="1">
      <c r="A971" s="1069"/>
      <c r="B971" s="244"/>
      <c r="C971" s="430"/>
      <c r="D971" s="430"/>
      <c r="E971" s="430"/>
      <c r="F971" s="55"/>
      <c r="G971" s="55"/>
      <c r="H971" s="136">
        <f t="shared" si="30"/>
        <v>0</v>
      </c>
      <c r="I971" s="136">
        <f t="shared" si="31"/>
        <v>0</v>
      </c>
      <c r="J971" s="73"/>
    </row>
    <row r="972" spans="1:10" s="5" customFormat="1" hidden="1">
      <c r="A972" s="1069"/>
      <c r="B972" s="244"/>
      <c r="C972" s="430"/>
      <c r="D972" s="430"/>
      <c r="E972" s="430"/>
      <c r="F972" s="55"/>
      <c r="G972" s="55"/>
      <c r="H972" s="136">
        <f t="shared" si="30"/>
        <v>0</v>
      </c>
      <c r="I972" s="136">
        <f t="shared" si="31"/>
        <v>0</v>
      </c>
      <c r="J972" s="73"/>
    </row>
    <row r="973" spans="1:10" s="5" customFormat="1" hidden="1">
      <c r="A973" s="1069"/>
      <c r="B973" s="244"/>
      <c r="C973" s="430"/>
      <c r="D973" s="430"/>
      <c r="E973" s="430"/>
      <c r="F973" s="55"/>
      <c r="G973" s="55"/>
      <c r="H973" s="136">
        <f t="shared" si="30"/>
        <v>0</v>
      </c>
      <c r="I973" s="136">
        <f t="shared" si="31"/>
        <v>0</v>
      </c>
      <c r="J973" s="73"/>
    </row>
    <row r="974" spans="1:10" s="5" customFormat="1" hidden="1">
      <c r="A974" s="1069"/>
      <c r="B974" s="244"/>
      <c r="C974" s="430"/>
      <c r="D974" s="430"/>
      <c r="E974" s="430"/>
      <c r="F974" s="55"/>
      <c r="G974" s="55"/>
      <c r="H974" s="136">
        <f t="shared" si="30"/>
        <v>0</v>
      </c>
      <c r="I974" s="136">
        <f t="shared" si="31"/>
        <v>0</v>
      </c>
      <c r="J974" s="73"/>
    </row>
    <row r="975" spans="1:10" s="5" customFormat="1" hidden="1">
      <c r="A975" s="1069"/>
      <c r="B975" s="244"/>
      <c r="C975" s="430"/>
      <c r="D975" s="430"/>
      <c r="E975" s="430"/>
      <c r="F975" s="55"/>
      <c r="G975" s="55"/>
      <c r="H975" s="136">
        <f t="shared" si="30"/>
        <v>0</v>
      </c>
      <c r="I975" s="136">
        <f t="shared" si="31"/>
        <v>0</v>
      </c>
      <c r="J975" s="73"/>
    </row>
    <row r="976" spans="1:10" s="5" customFormat="1" hidden="1">
      <c r="A976" s="1069"/>
      <c r="B976" s="244"/>
      <c r="C976" s="430"/>
      <c r="D976" s="430"/>
      <c r="E976" s="430"/>
      <c r="F976" s="55"/>
      <c r="G976" s="55"/>
      <c r="H976" s="136">
        <f t="shared" si="30"/>
        <v>0</v>
      </c>
      <c r="I976" s="136">
        <f t="shared" si="31"/>
        <v>0</v>
      </c>
      <c r="J976" s="73"/>
    </row>
    <row r="977" spans="1:10" s="5" customFormat="1" hidden="1">
      <c r="A977" s="1069"/>
      <c r="B977" s="244"/>
      <c r="C977" s="430"/>
      <c r="D977" s="430"/>
      <c r="E977" s="430"/>
      <c r="F977" s="55"/>
      <c r="G977" s="55"/>
      <c r="H977" s="136">
        <f t="shared" si="30"/>
        <v>0</v>
      </c>
      <c r="I977" s="136">
        <f t="shared" si="31"/>
        <v>0</v>
      </c>
      <c r="J977" s="73"/>
    </row>
    <row r="978" spans="1:10" s="5" customFormat="1" hidden="1">
      <c r="A978" s="1069"/>
      <c r="B978" s="244"/>
      <c r="C978" s="383"/>
      <c r="D978" s="383"/>
      <c r="E978" s="430"/>
      <c r="F978" s="55"/>
      <c r="G978" s="55"/>
      <c r="H978" s="136">
        <f t="shared" si="30"/>
        <v>0</v>
      </c>
      <c r="I978" s="136">
        <f t="shared" si="31"/>
        <v>0</v>
      </c>
      <c r="J978" s="73"/>
    </row>
    <row r="979" spans="1:10" s="5" customFormat="1" hidden="1">
      <c r="A979" s="1069"/>
      <c r="B979" s="244"/>
      <c r="C979" s="383"/>
      <c r="D979" s="383"/>
      <c r="E979" s="430"/>
      <c r="F979" s="55"/>
      <c r="G979" s="55"/>
      <c r="H979" s="136">
        <f t="shared" si="30"/>
        <v>0</v>
      </c>
      <c r="I979" s="136">
        <f t="shared" si="31"/>
        <v>0</v>
      </c>
      <c r="J979" s="73"/>
    </row>
    <row r="980" spans="1:10" s="5" customFormat="1" hidden="1">
      <c r="A980" s="1069"/>
      <c r="B980" s="244"/>
      <c r="C980" s="383"/>
      <c r="D980" s="383"/>
      <c r="E980" s="430"/>
      <c r="F980" s="55"/>
      <c r="G980" s="55"/>
      <c r="H980" s="136">
        <f t="shared" si="30"/>
        <v>0</v>
      </c>
      <c r="I980" s="136">
        <f t="shared" si="31"/>
        <v>0</v>
      </c>
      <c r="J980" s="73"/>
    </row>
    <row r="981" spans="1:10" s="5" customFormat="1" hidden="1">
      <c r="A981" s="1069"/>
      <c r="B981" s="244"/>
      <c r="C981" s="383"/>
      <c r="D981" s="383"/>
      <c r="E981" s="430"/>
      <c r="F981" s="55"/>
      <c r="G981" s="55"/>
      <c r="H981" s="136">
        <f t="shared" si="30"/>
        <v>0</v>
      </c>
      <c r="I981" s="136">
        <f t="shared" si="31"/>
        <v>0</v>
      </c>
      <c r="J981" s="73"/>
    </row>
    <row r="982" spans="1:10" s="5" customFormat="1" hidden="1">
      <c r="A982" s="1069"/>
      <c r="B982" s="244"/>
      <c r="C982" s="383"/>
      <c r="D982" s="383"/>
      <c r="E982" s="430"/>
      <c r="F982" s="55"/>
      <c r="G982" s="55"/>
      <c r="H982" s="136">
        <f t="shared" si="30"/>
        <v>0</v>
      </c>
      <c r="I982" s="136">
        <f t="shared" si="31"/>
        <v>0</v>
      </c>
      <c r="J982" s="73"/>
    </row>
    <row r="983" spans="1:10" s="5" customFormat="1" hidden="1">
      <c r="A983" s="1069"/>
      <c r="B983" s="244"/>
      <c r="C983" s="383"/>
      <c r="D983" s="383"/>
      <c r="E983" s="433"/>
      <c r="F983" s="55"/>
      <c r="G983" s="55"/>
      <c r="H983" s="136">
        <f t="shared" si="30"/>
        <v>0</v>
      </c>
      <c r="I983" s="136">
        <f t="shared" si="31"/>
        <v>0</v>
      </c>
      <c r="J983" s="73"/>
    </row>
    <row r="984" spans="1:10" s="5" customFormat="1" hidden="1">
      <c r="A984" s="1069"/>
      <c r="B984" s="244"/>
      <c r="C984" s="383"/>
      <c r="D984" s="383"/>
      <c r="E984" s="433"/>
      <c r="F984" s="55"/>
      <c r="G984" s="55"/>
      <c r="H984" s="136">
        <f t="shared" si="30"/>
        <v>0</v>
      </c>
      <c r="I984" s="136">
        <f t="shared" si="31"/>
        <v>0</v>
      </c>
      <c r="J984" s="73"/>
    </row>
    <row r="985" spans="1:10" s="5" customFormat="1" hidden="1">
      <c r="A985" s="1069"/>
      <c r="B985" s="244"/>
      <c r="C985" s="383"/>
      <c r="D985" s="383"/>
      <c r="E985" s="433"/>
      <c r="F985" s="55"/>
      <c r="G985" s="55"/>
      <c r="H985" s="136">
        <f t="shared" si="30"/>
        <v>0</v>
      </c>
      <c r="I985" s="136">
        <f t="shared" si="31"/>
        <v>0</v>
      </c>
      <c r="J985" s="73"/>
    </row>
    <row r="986" spans="1:10" s="5" customFormat="1" hidden="1">
      <c r="A986" s="1069"/>
      <c r="B986" s="244"/>
      <c r="C986" s="383"/>
      <c r="D986" s="383"/>
      <c r="E986" s="433"/>
      <c r="F986" s="55"/>
      <c r="G986" s="55"/>
      <c r="H986" s="136">
        <f t="shared" si="30"/>
        <v>0</v>
      </c>
      <c r="I986" s="136">
        <f t="shared" si="31"/>
        <v>0</v>
      </c>
      <c r="J986" s="73"/>
    </row>
    <row r="987" spans="1:10" s="5" customFormat="1" hidden="1">
      <c r="A987" s="1069"/>
      <c r="B987" s="244"/>
      <c r="C987" s="383"/>
      <c r="D987" s="383"/>
      <c r="E987" s="433"/>
      <c r="F987" s="55"/>
      <c r="G987" s="55"/>
      <c r="H987" s="136">
        <f t="shared" si="30"/>
        <v>0</v>
      </c>
      <c r="I987" s="136">
        <f t="shared" si="31"/>
        <v>0</v>
      </c>
      <c r="J987" s="73"/>
    </row>
    <row r="988" spans="1:10" s="5" customFormat="1" hidden="1">
      <c r="A988" s="1069"/>
      <c r="B988" s="244"/>
      <c r="C988" s="383"/>
      <c r="D988" s="383"/>
      <c r="E988" s="433"/>
      <c r="F988" s="55"/>
      <c r="G988" s="55"/>
      <c r="H988" s="136">
        <f t="shared" si="30"/>
        <v>0</v>
      </c>
      <c r="I988" s="136">
        <f t="shared" si="31"/>
        <v>0</v>
      </c>
      <c r="J988" s="73"/>
    </row>
    <row r="989" spans="1:10" s="5" customFormat="1" hidden="1">
      <c r="A989" s="1069"/>
      <c r="B989" s="244"/>
      <c r="C989" s="383"/>
      <c r="D989" s="383"/>
      <c r="E989" s="433"/>
      <c r="F989" s="55"/>
      <c r="G989" s="55"/>
      <c r="H989" s="136">
        <f t="shared" si="30"/>
        <v>0</v>
      </c>
      <c r="I989" s="136">
        <f t="shared" si="31"/>
        <v>0</v>
      </c>
      <c r="J989" s="73"/>
    </row>
    <row r="990" spans="1:10" s="5" customFormat="1" hidden="1">
      <c r="A990" s="1069"/>
      <c r="B990" s="244"/>
      <c r="C990" s="383"/>
      <c r="D990" s="383"/>
      <c r="E990" s="433"/>
      <c r="F990" s="55"/>
      <c r="G990" s="55"/>
      <c r="H990" s="136">
        <f t="shared" si="30"/>
        <v>0</v>
      </c>
      <c r="I990" s="136">
        <f t="shared" si="31"/>
        <v>0</v>
      </c>
      <c r="J990" s="73"/>
    </row>
    <row r="991" spans="1:10" s="5" customFormat="1" hidden="1">
      <c r="A991" s="1069"/>
      <c r="B991" s="244"/>
      <c r="C991" s="383"/>
      <c r="D991" s="383"/>
      <c r="E991" s="433"/>
      <c r="F991" s="55"/>
      <c r="G991" s="55"/>
      <c r="H991" s="136">
        <f t="shared" si="30"/>
        <v>0</v>
      </c>
      <c r="I991" s="136">
        <f t="shared" si="31"/>
        <v>0</v>
      </c>
      <c r="J991" s="73"/>
    </row>
    <row r="992" spans="1:10" s="5" customFormat="1" hidden="1">
      <c r="A992" s="1069"/>
      <c r="B992" s="244"/>
      <c r="C992" s="383"/>
      <c r="D992" s="383"/>
      <c r="E992" s="433"/>
      <c r="F992" s="55"/>
      <c r="G992" s="55"/>
      <c r="H992" s="136">
        <f t="shared" si="30"/>
        <v>0</v>
      </c>
      <c r="I992" s="136">
        <f t="shared" si="31"/>
        <v>0</v>
      </c>
      <c r="J992" s="73"/>
    </row>
    <row r="993" spans="1:10" s="5" customFormat="1" hidden="1">
      <c r="A993" s="1069"/>
      <c r="B993" s="246"/>
      <c r="C993" s="434"/>
      <c r="D993" s="434"/>
      <c r="E993" s="435"/>
      <c r="F993" s="55"/>
      <c r="G993" s="55"/>
      <c r="H993" s="136">
        <f t="shared" si="30"/>
        <v>0</v>
      </c>
      <c r="I993" s="136">
        <f t="shared" si="31"/>
        <v>0</v>
      </c>
      <c r="J993" s="73"/>
    </row>
    <row r="994" spans="1:10" s="5" customFormat="1" hidden="1">
      <c r="A994" s="1069"/>
      <c r="B994" s="246"/>
      <c r="C994" s="434"/>
      <c r="D994" s="434"/>
      <c r="E994" s="435"/>
      <c r="F994" s="55"/>
      <c r="G994" s="55"/>
      <c r="H994" s="136">
        <f t="shared" si="30"/>
        <v>0</v>
      </c>
      <c r="I994" s="136">
        <f t="shared" si="31"/>
        <v>0</v>
      </c>
      <c r="J994" s="73"/>
    </row>
    <row r="995" spans="1:10" s="5" customFormat="1" hidden="1">
      <c r="A995" s="1069"/>
      <c r="B995" s="246"/>
      <c r="C995" s="434"/>
      <c r="D995" s="434"/>
      <c r="E995" s="435"/>
      <c r="F995" s="55"/>
      <c r="G995" s="55"/>
      <c r="H995" s="136">
        <f t="shared" si="30"/>
        <v>0</v>
      </c>
      <c r="I995" s="136">
        <f t="shared" si="31"/>
        <v>0</v>
      </c>
      <c r="J995" s="73"/>
    </row>
    <row r="996" spans="1:10" s="5" customFormat="1" hidden="1">
      <c r="A996" s="1069"/>
      <c r="B996" s="246"/>
      <c r="C996" s="434"/>
      <c r="D996" s="434"/>
      <c r="E996" s="435"/>
      <c r="F996" s="55"/>
      <c r="G996" s="55"/>
      <c r="H996" s="136">
        <f t="shared" si="30"/>
        <v>0</v>
      </c>
      <c r="I996" s="136">
        <f t="shared" si="31"/>
        <v>0</v>
      </c>
      <c r="J996" s="73"/>
    </row>
    <row r="997" spans="1:10" s="5" customFormat="1" hidden="1">
      <c r="A997" s="1069"/>
      <c r="B997" s="246"/>
      <c r="C997" s="434"/>
      <c r="D997" s="434"/>
      <c r="E997" s="435"/>
      <c r="F997" s="55"/>
      <c r="G997" s="55"/>
      <c r="H997" s="136">
        <f t="shared" si="30"/>
        <v>0</v>
      </c>
      <c r="I997" s="136">
        <f t="shared" si="31"/>
        <v>0</v>
      </c>
      <c r="J997" s="73"/>
    </row>
    <row r="998" spans="1:10" s="5" customFormat="1" hidden="1">
      <c r="A998" s="1069"/>
      <c r="B998" s="246"/>
      <c r="C998" s="434"/>
      <c r="D998" s="434"/>
      <c r="E998" s="435"/>
      <c r="F998" s="55"/>
      <c r="G998" s="55"/>
      <c r="H998" s="136">
        <f t="shared" si="30"/>
        <v>0</v>
      </c>
      <c r="I998" s="136">
        <f t="shared" si="31"/>
        <v>0</v>
      </c>
      <c r="J998" s="73"/>
    </row>
    <row r="999" spans="1:10" s="5" customFormat="1" hidden="1">
      <c r="A999" s="1069"/>
      <c r="B999" s="246"/>
      <c r="C999" s="434"/>
      <c r="D999" s="434"/>
      <c r="E999" s="435"/>
      <c r="F999" s="55"/>
      <c r="G999" s="55"/>
      <c r="H999" s="136">
        <f t="shared" si="30"/>
        <v>0</v>
      </c>
      <c r="I999" s="136">
        <f t="shared" si="31"/>
        <v>0</v>
      </c>
      <c r="J999" s="73"/>
    </row>
    <row r="1000" spans="1:10" s="5" customFormat="1" hidden="1">
      <c r="A1000" s="1069"/>
      <c r="B1000" s="246"/>
      <c r="C1000" s="434"/>
      <c r="D1000" s="434"/>
      <c r="E1000" s="435"/>
      <c r="F1000" s="55"/>
      <c r="G1000" s="55"/>
      <c r="H1000" s="136">
        <f t="shared" si="30"/>
        <v>0</v>
      </c>
      <c r="I1000" s="136">
        <f t="shared" si="31"/>
        <v>0</v>
      </c>
      <c r="J1000" s="73"/>
    </row>
    <row r="1001" spans="1:10" s="5" customFormat="1" hidden="1">
      <c r="A1001" s="1069"/>
      <c r="B1001" s="246"/>
      <c r="C1001" s="434"/>
      <c r="D1001" s="434"/>
      <c r="E1001" s="435"/>
      <c r="F1001" s="55"/>
      <c r="G1001" s="55"/>
      <c r="H1001" s="136">
        <f t="shared" si="30"/>
        <v>0</v>
      </c>
      <c r="I1001" s="136">
        <f t="shared" si="31"/>
        <v>0</v>
      </c>
      <c r="J1001" s="73"/>
    </row>
    <row r="1002" spans="1:10" s="5" customFormat="1" hidden="1">
      <c r="A1002" s="1069"/>
      <c r="B1002" s="246"/>
      <c r="C1002" s="434"/>
      <c r="D1002" s="434"/>
      <c r="E1002" s="435"/>
      <c r="F1002" s="55"/>
      <c r="G1002" s="55"/>
      <c r="H1002" s="136">
        <f t="shared" si="30"/>
        <v>0</v>
      </c>
      <c r="I1002" s="136">
        <f t="shared" si="31"/>
        <v>0</v>
      </c>
      <c r="J1002" s="73"/>
    </row>
    <row r="1003" spans="1:10" s="5" customFormat="1" hidden="1">
      <c r="A1003" s="1069"/>
      <c r="B1003" s="246"/>
      <c r="C1003" s="434"/>
      <c r="D1003" s="434"/>
      <c r="E1003" s="435"/>
      <c r="F1003" s="55"/>
      <c r="G1003" s="55"/>
      <c r="H1003" s="136">
        <f t="shared" si="30"/>
        <v>0</v>
      </c>
      <c r="I1003" s="136">
        <f t="shared" si="31"/>
        <v>0</v>
      </c>
      <c r="J1003" s="73"/>
    </row>
    <row r="1004" spans="1:10" s="5" customFormat="1" hidden="1">
      <c r="A1004" s="1069"/>
      <c r="B1004" s="246"/>
      <c r="C1004" s="434"/>
      <c r="D1004" s="434"/>
      <c r="E1004" s="435"/>
      <c r="F1004" s="55"/>
      <c r="G1004" s="55"/>
      <c r="H1004" s="136">
        <f t="shared" si="30"/>
        <v>0</v>
      </c>
      <c r="I1004" s="136">
        <f t="shared" si="31"/>
        <v>0</v>
      </c>
      <c r="J1004" s="73"/>
    </row>
    <row r="1005" spans="1:10" s="5" customFormat="1" hidden="1">
      <c r="A1005" s="1069"/>
      <c r="B1005" s="246"/>
      <c r="C1005" s="434"/>
      <c r="D1005" s="434"/>
      <c r="E1005" s="435"/>
      <c r="F1005" s="55"/>
      <c r="G1005" s="55"/>
      <c r="H1005" s="136">
        <f t="shared" si="30"/>
        <v>0</v>
      </c>
      <c r="I1005" s="136">
        <f t="shared" si="31"/>
        <v>0</v>
      </c>
      <c r="J1005" s="73"/>
    </row>
    <row r="1006" spans="1:10" s="5" customFormat="1" hidden="1">
      <c r="A1006" s="1069"/>
      <c r="B1006" s="246"/>
      <c r="C1006" s="434"/>
      <c r="D1006" s="434"/>
      <c r="E1006" s="435"/>
      <c r="F1006" s="55"/>
      <c r="G1006" s="55"/>
      <c r="H1006" s="136">
        <f t="shared" si="30"/>
        <v>0</v>
      </c>
      <c r="I1006" s="136">
        <f t="shared" si="31"/>
        <v>0</v>
      </c>
      <c r="J1006" s="73"/>
    </row>
    <row r="1007" spans="1:10" s="5" customFormat="1" hidden="1">
      <c r="A1007" s="1069"/>
      <c r="B1007" s="246"/>
      <c r="C1007" s="434"/>
      <c r="D1007" s="434"/>
      <c r="E1007" s="435"/>
      <c r="F1007" s="55"/>
      <c r="G1007" s="55"/>
      <c r="H1007" s="136">
        <f t="shared" si="30"/>
        <v>0</v>
      </c>
      <c r="I1007" s="136">
        <f t="shared" si="31"/>
        <v>0</v>
      </c>
      <c r="J1007" s="73"/>
    </row>
    <row r="1008" spans="1:10" s="5" customFormat="1" hidden="1">
      <c r="A1008" s="1069"/>
      <c r="B1008" s="246"/>
      <c r="C1008" s="434"/>
      <c r="D1008" s="434"/>
      <c r="E1008" s="435"/>
      <c r="F1008" s="55"/>
      <c r="G1008" s="55"/>
      <c r="H1008" s="136">
        <f t="shared" si="30"/>
        <v>0</v>
      </c>
      <c r="I1008" s="136">
        <f t="shared" si="31"/>
        <v>0</v>
      </c>
      <c r="J1008" s="73"/>
    </row>
    <row r="1009" spans="1:10" s="5" customFormat="1" hidden="1">
      <c r="A1009" s="1069"/>
      <c r="B1009" s="246"/>
      <c r="C1009" s="434"/>
      <c r="D1009" s="434"/>
      <c r="E1009" s="435"/>
      <c r="F1009" s="55"/>
      <c r="G1009" s="55"/>
      <c r="H1009" s="136">
        <f t="shared" si="30"/>
        <v>0</v>
      </c>
      <c r="I1009" s="136">
        <f t="shared" si="31"/>
        <v>0</v>
      </c>
      <c r="J1009" s="73"/>
    </row>
    <row r="1010" spans="1:10" s="5" customFormat="1" hidden="1">
      <c r="A1010" s="1069"/>
      <c r="B1010" s="246"/>
      <c r="C1010" s="434"/>
      <c r="D1010" s="434"/>
      <c r="E1010" s="435"/>
      <c r="F1010" s="55"/>
      <c r="G1010" s="55"/>
      <c r="H1010" s="136">
        <f t="shared" si="30"/>
        <v>0</v>
      </c>
      <c r="I1010" s="136">
        <f t="shared" si="31"/>
        <v>0</v>
      </c>
      <c r="J1010" s="73"/>
    </row>
    <row r="1011" spans="1:10" s="5" customFormat="1" hidden="1">
      <c r="A1011" s="1069"/>
      <c r="B1011" s="246"/>
      <c r="C1011" s="434"/>
      <c r="D1011" s="434"/>
      <c r="E1011" s="435"/>
      <c r="F1011" s="55"/>
      <c r="G1011" s="55"/>
      <c r="H1011" s="136">
        <f t="shared" si="30"/>
        <v>0</v>
      </c>
      <c r="I1011" s="136">
        <f t="shared" si="31"/>
        <v>0</v>
      </c>
      <c r="J1011" s="73"/>
    </row>
    <row r="1012" spans="1:10" s="5" customFormat="1" hidden="1">
      <c r="A1012" s="1069"/>
      <c r="B1012" s="246"/>
      <c r="C1012" s="434"/>
      <c r="D1012" s="434"/>
      <c r="E1012" s="435"/>
      <c r="F1012" s="55"/>
      <c r="G1012" s="55"/>
      <c r="H1012" s="136">
        <f t="shared" si="30"/>
        <v>0</v>
      </c>
      <c r="I1012" s="136">
        <f t="shared" si="31"/>
        <v>0</v>
      </c>
      <c r="J1012" s="73"/>
    </row>
    <row r="1013" spans="1:10" s="5" customFormat="1" hidden="1">
      <c r="A1013" s="1069"/>
      <c r="B1013" s="246"/>
      <c r="C1013" s="434"/>
      <c r="D1013" s="434"/>
      <c r="E1013" s="435"/>
      <c r="F1013" s="55"/>
      <c r="G1013" s="55"/>
      <c r="H1013" s="136">
        <f t="shared" si="30"/>
        <v>0</v>
      </c>
      <c r="I1013" s="136">
        <f t="shared" si="31"/>
        <v>0</v>
      </c>
      <c r="J1013" s="73"/>
    </row>
    <row r="1014" spans="1:10" s="5" customFormat="1" hidden="1">
      <c r="A1014" s="1069"/>
      <c r="B1014" s="246"/>
      <c r="C1014" s="434"/>
      <c r="D1014" s="434"/>
      <c r="E1014" s="435"/>
      <c r="F1014" s="55"/>
      <c r="G1014" s="55"/>
      <c r="H1014" s="136">
        <f t="shared" si="30"/>
        <v>0</v>
      </c>
      <c r="I1014" s="136">
        <f t="shared" si="31"/>
        <v>0</v>
      </c>
      <c r="J1014" s="73"/>
    </row>
    <row r="1015" spans="1:10" s="5" customFormat="1" hidden="1">
      <c r="A1015" s="1069"/>
      <c r="B1015" s="246"/>
      <c r="C1015" s="434"/>
      <c r="D1015" s="434"/>
      <c r="E1015" s="435"/>
      <c r="F1015" s="55"/>
      <c r="G1015" s="55"/>
      <c r="H1015" s="136">
        <f t="shared" si="30"/>
        <v>0</v>
      </c>
      <c r="I1015" s="136">
        <f t="shared" si="31"/>
        <v>0</v>
      </c>
      <c r="J1015" s="73"/>
    </row>
    <row r="1016" spans="1:10" s="5" customFormat="1" hidden="1">
      <c r="A1016" s="1069"/>
      <c r="B1016" s="246"/>
      <c r="C1016" s="434"/>
      <c r="D1016" s="434"/>
      <c r="E1016" s="435"/>
      <c r="F1016" s="55"/>
      <c r="G1016" s="55"/>
      <c r="H1016" s="136">
        <f t="shared" si="30"/>
        <v>0</v>
      </c>
      <c r="I1016" s="136">
        <f t="shared" si="31"/>
        <v>0</v>
      </c>
      <c r="J1016" s="73"/>
    </row>
    <row r="1017" spans="1:10" s="5" customFormat="1" hidden="1">
      <c r="A1017" s="1069"/>
      <c r="B1017" s="246"/>
      <c r="C1017" s="434"/>
      <c r="D1017" s="434"/>
      <c r="E1017" s="435"/>
      <c r="F1017" s="55"/>
      <c r="G1017" s="55"/>
      <c r="H1017" s="136">
        <f t="shared" si="30"/>
        <v>0</v>
      </c>
      <c r="I1017" s="136">
        <f t="shared" si="31"/>
        <v>0</v>
      </c>
      <c r="J1017" s="73"/>
    </row>
    <row r="1018" spans="1:10" s="5" customFormat="1" hidden="1">
      <c r="A1018" s="1069"/>
      <c r="B1018" s="246"/>
      <c r="C1018" s="434"/>
      <c r="D1018" s="434"/>
      <c r="E1018" s="435"/>
      <c r="F1018" s="55"/>
      <c r="G1018" s="55"/>
      <c r="H1018" s="136">
        <f t="shared" si="30"/>
        <v>0</v>
      </c>
      <c r="I1018" s="136">
        <f t="shared" si="31"/>
        <v>0</v>
      </c>
      <c r="J1018" s="73"/>
    </row>
    <row r="1019" spans="1:10" s="5" customFormat="1" hidden="1">
      <c r="A1019" s="1069"/>
      <c r="B1019" s="246"/>
      <c r="C1019" s="434"/>
      <c r="D1019" s="434"/>
      <c r="E1019" s="435"/>
      <c r="F1019" s="55"/>
      <c r="G1019" s="55"/>
      <c r="H1019" s="136">
        <f t="shared" si="30"/>
        <v>0</v>
      </c>
      <c r="I1019" s="136">
        <f t="shared" si="31"/>
        <v>0</v>
      </c>
      <c r="J1019" s="73"/>
    </row>
    <row r="1020" spans="1:10" s="5" customFormat="1" hidden="1">
      <c r="A1020" s="1069"/>
      <c r="B1020" s="246"/>
      <c r="C1020" s="434"/>
      <c r="D1020" s="434"/>
      <c r="E1020" s="435"/>
      <c r="F1020" s="55"/>
      <c r="G1020" s="55"/>
      <c r="H1020" s="136">
        <f t="shared" si="30"/>
        <v>0</v>
      </c>
      <c r="I1020" s="136">
        <f t="shared" si="31"/>
        <v>0</v>
      </c>
      <c r="J1020" s="73"/>
    </row>
    <row r="1021" spans="1:10" s="5" customFormat="1" hidden="1">
      <c r="A1021" s="1069"/>
      <c r="B1021" s="244"/>
      <c r="C1021" s="383"/>
      <c r="D1021" s="383"/>
      <c r="E1021" s="433"/>
      <c r="F1021" s="55"/>
      <c r="G1021" s="55"/>
      <c r="H1021" s="136">
        <f t="shared" si="30"/>
        <v>0</v>
      </c>
      <c r="I1021" s="136">
        <f t="shared" si="31"/>
        <v>0</v>
      </c>
      <c r="J1021" s="73"/>
    </row>
    <row r="1022" spans="1:10" s="5" customFormat="1" hidden="1">
      <c r="A1022" s="1069"/>
      <c r="B1022" s="247" t="s">
        <v>253</v>
      </c>
      <c r="C1022" s="344">
        <f>SUM(C944:C1021)</f>
        <v>0</v>
      </c>
      <c r="D1022" s="344">
        <f>SUM(D944:D1021)</f>
        <v>0</v>
      </c>
      <c r="E1022" s="344">
        <f>SUM(E944:E1021)</f>
        <v>0</v>
      </c>
      <c r="F1022" s="75">
        <f>SUM(F944:F966)</f>
        <v>0</v>
      </c>
      <c r="G1022" s="75">
        <f>SUM(G944:G966)</f>
        <v>0</v>
      </c>
      <c r="H1022" s="136">
        <f t="shared" si="30"/>
        <v>0</v>
      </c>
      <c r="I1022" s="136">
        <f t="shared" si="31"/>
        <v>0</v>
      </c>
      <c r="J1022" s="73"/>
    </row>
    <row r="1023" spans="1:10" ht="93.75">
      <c r="A1023" s="1068" t="s">
        <v>399</v>
      </c>
      <c r="B1023" s="310" t="s">
        <v>1821</v>
      </c>
      <c r="C1023" s="453">
        <v>119700</v>
      </c>
      <c r="D1023" s="453"/>
      <c r="E1023" s="453">
        <v>119700</v>
      </c>
      <c r="F1023" s="138"/>
      <c r="G1023" s="138"/>
      <c r="H1023" s="459">
        <f t="shared" si="30"/>
        <v>0</v>
      </c>
      <c r="I1023" s="459">
        <f t="shared" si="31"/>
        <v>239400</v>
      </c>
      <c r="J1023" s="460"/>
    </row>
    <row r="1024" spans="1:10" ht="66" customHeight="1">
      <c r="A1024" s="1068"/>
      <c r="B1024" s="310" t="s">
        <v>1834</v>
      </c>
      <c r="C1024" s="453">
        <f>330000+60000</f>
        <v>390000</v>
      </c>
      <c r="D1024" s="453"/>
      <c r="E1024" s="453">
        <f>330000+60000</f>
        <v>390000</v>
      </c>
      <c r="F1024" s="138"/>
      <c r="G1024" s="138"/>
      <c r="H1024" s="459">
        <f t="shared" si="30"/>
        <v>0</v>
      </c>
      <c r="I1024" s="459">
        <f t="shared" si="31"/>
        <v>780000</v>
      </c>
      <c r="J1024" s="460"/>
    </row>
    <row r="1025" spans="1:10" ht="56.25">
      <c r="A1025" s="1068"/>
      <c r="B1025" s="310" t="s">
        <v>1834</v>
      </c>
      <c r="C1025" s="453">
        <v>150000</v>
      </c>
      <c r="D1025" s="453"/>
      <c r="E1025" s="453">
        <v>150000</v>
      </c>
      <c r="F1025" s="367"/>
      <c r="G1025" s="367"/>
      <c r="H1025" s="459">
        <f t="shared" si="30"/>
        <v>0</v>
      </c>
      <c r="I1025" s="459">
        <f t="shared" si="31"/>
        <v>300000</v>
      </c>
      <c r="J1025" s="460" t="s">
        <v>1861</v>
      </c>
    </row>
    <row r="1026" spans="1:10" ht="131.25">
      <c r="A1026" s="1068"/>
      <c r="B1026" s="310" t="s">
        <v>1681</v>
      </c>
      <c r="C1026" s="455">
        <v>131470</v>
      </c>
      <c r="D1026" s="455"/>
      <c r="E1026" s="455">
        <v>131470</v>
      </c>
      <c r="F1026" s="138"/>
      <c r="G1026" s="138"/>
      <c r="H1026" s="459">
        <f t="shared" si="30"/>
        <v>0</v>
      </c>
      <c r="I1026" s="459">
        <f t="shared" si="31"/>
        <v>262940</v>
      </c>
      <c r="J1026" s="460"/>
    </row>
    <row r="1027" spans="1:10" s="5" customFormat="1" hidden="1">
      <c r="A1027" s="1069"/>
      <c r="B1027" s="244"/>
      <c r="C1027" s="383"/>
      <c r="D1027" s="383"/>
      <c r="E1027" s="383"/>
      <c r="F1027" s="138"/>
      <c r="G1027" s="138"/>
      <c r="H1027" s="136">
        <f t="shared" si="30"/>
        <v>0</v>
      </c>
      <c r="I1027" s="136">
        <f t="shared" si="31"/>
        <v>0</v>
      </c>
      <c r="J1027" s="73"/>
    </row>
    <row r="1028" spans="1:10" s="5" customFormat="1" hidden="1">
      <c r="A1028" s="1069"/>
      <c r="B1028" s="244"/>
      <c r="C1028" s="383"/>
      <c r="D1028" s="383"/>
      <c r="E1028" s="383"/>
      <c r="F1028" s="138"/>
      <c r="G1028" s="138"/>
      <c r="H1028" s="136">
        <f t="shared" si="30"/>
        <v>0</v>
      </c>
      <c r="I1028" s="136">
        <f t="shared" si="31"/>
        <v>0</v>
      </c>
      <c r="J1028" s="73"/>
    </row>
    <row r="1029" spans="1:10" s="5" customFormat="1" hidden="1">
      <c r="A1029" s="1069"/>
      <c r="B1029" s="244"/>
      <c r="C1029" s="383"/>
      <c r="D1029" s="383"/>
      <c r="E1029" s="383"/>
      <c r="F1029" s="138"/>
      <c r="G1029" s="138"/>
      <c r="H1029" s="136">
        <f t="shared" si="30"/>
        <v>0</v>
      </c>
      <c r="I1029" s="136">
        <f t="shared" si="31"/>
        <v>0</v>
      </c>
      <c r="J1029" s="73"/>
    </row>
    <row r="1030" spans="1:10" s="5" customFormat="1" hidden="1">
      <c r="A1030" s="1069"/>
      <c r="B1030" s="244"/>
      <c r="C1030" s="430"/>
      <c r="D1030" s="430"/>
      <c r="E1030" s="430"/>
      <c r="F1030" s="138"/>
      <c r="G1030" s="138"/>
      <c r="H1030" s="136">
        <f t="shared" si="30"/>
        <v>0</v>
      </c>
      <c r="I1030" s="136">
        <f t="shared" si="31"/>
        <v>0</v>
      </c>
      <c r="J1030" s="73"/>
    </row>
    <row r="1031" spans="1:10" s="5" customFormat="1" hidden="1">
      <c r="A1031" s="1069"/>
      <c r="B1031" s="246"/>
      <c r="C1031" s="434"/>
      <c r="D1031" s="434"/>
      <c r="E1031" s="435"/>
      <c r="F1031" s="138"/>
      <c r="G1031" s="138"/>
      <c r="H1031" s="136">
        <f t="shared" si="30"/>
        <v>0</v>
      </c>
      <c r="I1031" s="136">
        <f t="shared" si="31"/>
        <v>0</v>
      </c>
      <c r="J1031" s="73"/>
    </row>
    <row r="1032" spans="1:10" s="5" customFormat="1" hidden="1">
      <c r="A1032" s="1069"/>
      <c r="B1032" s="246"/>
      <c r="C1032" s="434"/>
      <c r="D1032" s="434"/>
      <c r="E1032" s="435"/>
      <c r="F1032" s="138"/>
      <c r="G1032" s="138"/>
      <c r="H1032" s="136">
        <f t="shared" si="30"/>
        <v>0</v>
      </c>
      <c r="I1032" s="136">
        <f t="shared" si="31"/>
        <v>0</v>
      </c>
      <c r="J1032" s="73"/>
    </row>
    <row r="1033" spans="1:10" s="5" customFormat="1" hidden="1">
      <c r="A1033" s="1069"/>
      <c r="B1033" s="244"/>
      <c r="C1033" s="433"/>
      <c r="D1033" s="433"/>
      <c r="E1033" s="433"/>
      <c r="F1033" s="138"/>
      <c r="G1033" s="138"/>
      <c r="H1033" s="136">
        <f t="shared" ref="H1033:H1096" si="32">E1033+D1033-C1033</f>
        <v>0</v>
      </c>
      <c r="I1033" s="136">
        <f t="shared" ref="I1033:I1096" si="33">SUM(C1033:E1033)</f>
        <v>0</v>
      </c>
      <c r="J1033" s="73"/>
    </row>
    <row r="1034" spans="1:10" s="5" customFormat="1" hidden="1">
      <c r="A1034" s="1069"/>
      <c r="B1034" s="244"/>
      <c r="C1034" s="433"/>
      <c r="D1034" s="433"/>
      <c r="E1034" s="433"/>
      <c r="F1034" s="138"/>
      <c r="G1034" s="138"/>
      <c r="H1034" s="136">
        <f t="shared" si="32"/>
        <v>0</v>
      </c>
      <c r="I1034" s="136">
        <f t="shared" si="33"/>
        <v>0</v>
      </c>
      <c r="J1034" s="73"/>
    </row>
    <row r="1035" spans="1:10" s="5" customFormat="1" hidden="1">
      <c r="A1035" s="1069"/>
      <c r="B1035" s="244"/>
      <c r="C1035" s="433"/>
      <c r="D1035" s="433"/>
      <c r="E1035" s="433"/>
      <c r="F1035" s="138"/>
      <c r="G1035" s="138"/>
      <c r="H1035" s="136">
        <f t="shared" si="32"/>
        <v>0</v>
      </c>
      <c r="I1035" s="136">
        <f t="shared" si="33"/>
        <v>0</v>
      </c>
      <c r="J1035" s="73"/>
    </row>
    <row r="1036" spans="1:10" s="5" customFormat="1" hidden="1">
      <c r="A1036" s="1069"/>
      <c r="B1036" s="244"/>
      <c r="C1036" s="433"/>
      <c r="D1036" s="433"/>
      <c r="E1036" s="433"/>
      <c r="F1036" s="138"/>
      <c r="G1036" s="138"/>
      <c r="H1036" s="136">
        <f t="shared" si="32"/>
        <v>0</v>
      </c>
      <c r="I1036" s="136">
        <f t="shared" si="33"/>
        <v>0</v>
      </c>
      <c r="J1036" s="73"/>
    </row>
    <row r="1037" spans="1:10" s="5" customFormat="1" hidden="1">
      <c r="A1037" s="1069"/>
      <c r="B1037" s="244"/>
      <c r="C1037" s="433"/>
      <c r="D1037" s="433"/>
      <c r="E1037" s="433"/>
      <c r="F1037" s="138"/>
      <c r="G1037" s="138"/>
      <c r="H1037" s="136">
        <f t="shared" si="32"/>
        <v>0</v>
      </c>
      <c r="I1037" s="136">
        <f t="shared" si="33"/>
        <v>0</v>
      </c>
      <c r="J1037" s="73"/>
    </row>
    <row r="1038" spans="1:10" s="5" customFormat="1" hidden="1">
      <c r="A1038" s="1069"/>
      <c r="B1038" s="244"/>
      <c r="C1038" s="433"/>
      <c r="D1038" s="433"/>
      <c r="E1038" s="433"/>
      <c r="F1038" s="138"/>
      <c r="G1038" s="138"/>
      <c r="H1038" s="136">
        <f t="shared" si="32"/>
        <v>0</v>
      </c>
      <c r="I1038" s="136">
        <f t="shared" si="33"/>
        <v>0</v>
      </c>
      <c r="J1038" s="73"/>
    </row>
    <row r="1039" spans="1:10" s="5" customFormat="1" hidden="1">
      <c r="A1039" s="1069"/>
      <c r="B1039" s="244"/>
      <c r="C1039" s="433"/>
      <c r="D1039" s="433"/>
      <c r="E1039" s="433"/>
      <c r="F1039" s="138"/>
      <c r="G1039" s="138"/>
      <c r="H1039" s="136">
        <f t="shared" si="32"/>
        <v>0</v>
      </c>
      <c r="I1039" s="136">
        <f t="shared" si="33"/>
        <v>0</v>
      </c>
      <c r="J1039" s="73"/>
    </row>
    <row r="1040" spans="1:10" s="5" customFormat="1" hidden="1">
      <c r="A1040" s="1069"/>
      <c r="B1040" s="244"/>
      <c r="C1040" s="433"/>
      <c r="D1040" s="433"/>
      <c r="E1040" s="433"/>
      <c r="F1040" s="138"/>
      <c r="G1040" s="138"/>
      <c r="H1040" s="136">
        <f t="shared" si="32"/>
        <v>0</v>
      </c>
      <c r="I1040" s="136">
        <f t="shared" si="33"/>
        <v>0</v>
      </c>
      <c r="J1040" s="73"/>
    </row>
    <row r="1041" spans="1:10" s="5" customFormat="1" hidden="1">
      <c r="A1041" s="1069"/>
      <c r="B1041" s="244"/>
      <c r="C1041" s="433"/>
      <c r="D1041" s="433"/>
      <c r="E1041" s="433"/>
      <c r="F1041" s="138"/>
      <c r="G1041" s="138"/>
      <c r="H1041" s="136">
        <f t="shared" si="32"/>
        <v>0</v>
      </c>
      <c r="I1041" s="136">
        <f t="shared" si="33"/>
        <v>0</v>
      </c>
      <c r="J1041" s="73"/>
    </row>
    <row r="1042" spans="1:10" s="5" customFormat="1" hidden="1">
      <c r="A1042" s="1069"/>
      <c r="B1042" s="244"/>
      <c r="C1042" s="433"/>
      <c r="D1042" s="433"/>
      <c r="E1042" s="433"/>
      <c r="F1042" s="138"/>
      <c r="G1042" s="138"/>
      <c r="H1042" s="136">
        <f t="shared" si="32"/>
        <v>0</v>
      </c>
      <c r="I1042" s="136">
        <f t="shared" si="33"/>
        <v>0</v>
      </c>
      <c r="J1042" s="73"/>
    </row>
    <row r="1043" spans="1:10" s="5" customFormat="1" hidden="1">
      <c r="A1043" s="1069"/>
      <c r="B1043" s="244"/>
      <c r="C1043" s="433"/>
      <c r="D1043" s="433"/>
      <c r="E1043" s="433"/>
      <c r="F1043" s="138"/>
      <c r="G1043" s="138"/>
      <c r="H1043" s="136">
        <f t="shared" si="32"/>
        <v>0</v>
      </c>
      <c r="I1043" s="136">
        <f t="shared" si="33"/>
        <v>0</v>
      </c>
      <c r="J1043" s="73"/>
    </row>
    <row r="1044" spans="1:10" s="5" customFormat="1" hidden="1">
      <c r="A1044" s="1069"/>
      <c r="B1044" s="244"/>
      <c r="C1044" s="433"/>
      <c r="D1044" s="433"/>
      <c r="E1044" s="433"/>
      <c r="F1044" s="138"/>
      <c r="G1044" s="138"/>
      <c r="H1044" s="136">
        <f t="shared" si="32"/>
        <v>0</v>
      </c>
      <c r="I1044" s="136">
        <f t="shared" si="33"/>
        <v>0</v>
      </c>
      <c r="J1044" s="73"/>
    </row>
    <row r="1045" spans="1:10" s="5" customFormat="1" hidden="1">
      <c r="A1045" s="1069"/>
      <c r="B1045" s="244"/>
      <c r="C1045" s="383"/>
      <c r="D1045" s="383"/>
      <c r="E1045" s="383"/>
      <c r="F1045" s="138"/>
      <c r="G1045" s="138"/>
      <c r="H1045" s="136">
        <f t="shared" si="32"/>
        <v>0</v>
      </c>
      <c r="I1045" s="136">
        <f t="shared" si="33"/>
        <v>0</v>
      </c>
      <c r="J1045" s="73"/>
    </row>
    <row r="1046" spans="1:10" s="5" customFormat="1" hidden="1">
      <c r="A1046" s="1069"/>
      <c r="B1046" s="244"/>
      <c r="C1046" s="383"/>
      <c r="D1046" s="383"/>
      <c r="E1046" s="383"/>
      <c r="F1046" s="138"/>
      <c r="G1046" s="138"/>
      <c r="H1046" s="136">
        <f t="shared" si="32"/>
        <v>0</v>
      </c>
      <c r="I1046" s="136">
        <f t="shared" si="33"/>
        <v>0</v>
      </c>
      <c r="J1046" s="73"/>
    </row>
    <row r="1047" spans="1:10" s="5" customFormat="1" hidden="1">
      <c r="A1047" s="1069"/>
      <c r="B1047" s="244"/>
      <c r="C1047" s="383"/>
      <c r="D1047" s="383"/>
      <c r="E1047" s="383"/>
      <c r="F1047" s="138"/>
      <c r="G1047" s="138"/>
      <c r="H1047" s="136">
        <f t="shared" si="32"/>
        <v>0</v>
      </c>
      <c r="I1047" s="136">
        <f t="shared" si="33"/>
        <v>0</v>
      </c>
      <c r="J1047" s="73"/>
    </row>
    <row r="1048" spans="1:10" s="5" customFormat="1" hidden="1">
      <c r="A1048" s="1069"/>
      <c r="B1048" s="244"/>
      <c r="C1048" s="383"/>
      <c r="D1048" s="383"/>
      <c r="E1048" s="383"/>
      <c r="F1048" s="138"/>
      <c r="G1048" s="138"/>
      <c r="H1048" s="136">
        <f t="shared" si="32"/>
        <v>0</v>
      </c>
      <c r="I1048" s="136">
        <f t="shared" si="33"/>
        <v>0</v>
      </c>
      <c r="J1048" s="73"/>
    </row>
    <row r="1049" spans="1:10" s="5" customFormat="1" hidden="1">
      <c r="A1049" s="1069"/>
      <c r="B1049" s="244"/>
      <c r="C1049" s="383"/>
      <c r="D1049" s="383"/>
      <c r="E1049" s="383"/>
      <c r="F1049" s="138"/>
      <c r="G1049" s="138"/>
      <c r="H1049" s="136">
        <f t="shared" si="32"/>
        <v>0</v>
      </c>
      <c r="I1049" s="136">
        <f t="shared" si="33"/>
        <v>0</v>
      </c>
      <c r="J1049" s="73"/>
    </row>
    <row r="1050" spans="1:10" s="5" customFormat="1" hidden="1">
      <c r="A1050" s="1069"/>
      <c r="B1050" s="244"/>
      <c r="C1050" s="383"/>
      <c r="D1050" s="383"/>
      <c r="E1050" s="383"/>
      <c r="F1050" s="138"/>
      <c r="G1050" s="138"/>
      <c r="H1050" s="136">
        <f t="shared" si="32"/>
        <v>0</v>
      </c>
      <c r="I1050" s="136">
        <f t="shared" si="33"/>
        <v>0</v>
      </c>
      <c r="J1050" s="73"/>
    </row>
    <row r="1051" spans="1:10">
      <c r="A1051" s="1068"/>
      <c r="B1051" s="461" t="s">
        <v>253</v>
      </c>
      <c r="C1051" s="470">
        <f>SUM(C1023:C1050)</f>
        <v>791170</v>
      </c>
      <c r="D1051" s="470">
        <f>SUM(D1023:D1050)</f>
        <v>0</v>
      </c>
      <c r="E1051" s="470">
        <f>SUM(E1023:E1050)</f>
        <v>791170</v>
      </c>
      <c r="F1051" s="75">
        <f>SUM(F1023:F1027)</f>
        <v>0</v>
      </c>
      <c r="G1051" s="75">
        <f>SUM(G1023:G1027)</f>
        <v>0</v>
      </c>
      <c r="H1051" s="459">
        <f t="shared" si="32"/>
        <v>0</v>
      </c>
      <c r="I1051" s="459">
        <f t="shared" si="33"/>
        <v>1582340</v>
      </c>
      <c r="J1051" s="460"/>
    </row>
    <row r="1052" spans="1:10" s="5" customFormat="1" ht="80.25" hidden="1" customHeight="1">
      <c r="A1052" s="1069" t="s">
        <v>454</v>
      </c>
      <c r="B1052" s="244" t="s">
        <v>1723</v>
      </c>
      <c r="C1052" s="383">
        <f>100000-100000</f>
        <v>0</v>
      </c>
      <c r="D1052" s="430"/>
      <c r="E1052" s="430">
        <f>100000-100000</f>
        <v>0</v>
      </c>
      <c r="F1052" s="136"/>
      <c r="G1052" s="136"/>
      <c r="H1052" s="136">
        <f t="shared" si="32"/>
        <v>0</v>
      </c>
      <c r="I1052" s="136">
        <f t="shared" si="33"/>
        <v>0</v>
      </c>
      <c r="J1052" s="73"/>
    </row>
    <row r="1053" spans="1:10" s="5" customFormat="1" hidden="1">
      <c r="A1053" s="1069"/>
      <c r="B1053" s="237"/>
      <c r="C1053" s="383"/>
      <c r="D1053" s="383"/>
      <c r="E1053" s="383"/>
      <c r="F1053" s="136"/>
      <c r="G1053" s="136"/>
      <c r="H1053" s="136">
        <f t="shared" si="32"/>
        <v>0</v>
      </c>
      <c r="I1053" s="136">
        <f t="shared" si="33"/>
        <v>0</v>
      </c>
      <c r="J1053" s="73"/>
    </row>
    <row r="1054" spans="1:10" s="5" customFormat="1" hidden="1">
      <c r="A1054" s="1069"/>
      <c r="B1054" s="244"/>
      <c r="C1054" s="383"/>
      <c r="D1054" s="383"/>
      <c r="E1054" s="430"/>
      <c r="F1054" s="55"/>
      <c r="G1054" s="55"/>
      <c r="H1054" s="136">
        <f t="shared" si="32"/>
        <v>0</v>
      </c>
      <c r="I1054" s="136">
        <f t="shared" si="33"/>
        <v>0</v>
      </c>
      <c r="J1054" s="73"/>
    </row>
    <row r="1055" spans="1:10" s="5" customFormat="1" hidden="1">
      <c r="A1055" s="1069"/>
      <c r="B1055" s="244"/>
      <c r="C1055" s="383"/>
      <c r="D1055" s="383"/>
      <c r="E1055" s="430"/>
      <c r="F1055" s="55"/>
      <c r="G1055" s="55"/>
      <c r="H1055" s="136">
        <f t="shared" si="32"/>
        <v>0</v>
      </c>
      <c r="I1055" s="136">
        <f t="shared" si="33"/>
        <v>0</v>
      </c>
      <c r="J1055" s="73"/>
    </row>
    <row r="1056" spans="1:10" s="5" customFormat="1" hidden="1">
      <c r="A1056" s="1069"/>
      <c r="B1056" s="244"/>
      <c r="C1056" s="383"/>
      <c r="D1056" s="430"/>
      <c r="E1056" s="430"/>
      <c r="F1056" s="55"/>
      <c r="G1056" s="55"/>
      <c r="H1056" s="136">
        <f t="shared" si="32"/>
        <v>0</v>
      </c>
      <c r="I1056" s="136">
        <f t="shared" si="33"/>
        <v>0</v>
      </c>
      <c r="J1056" s="73"/>
    </row>
    <row r="1057" spans="1:10" s="5" customFormat="1" hidden="1">
      <c r="A1057" s="1069"/>
      <c r="B1057" s="244"/>
      <c r="C1057" s="383"/>
      <c r="D1057" s="383"/>
      <c r="E1057" s="383"/>
      <c r="F1057" s="55"/>
      <c r="G1057" s="55"/>
      <c r="H1057" s="136">
        <f t="shared" si="32"/>
        <v>0</v>
      </c>
      <c r="I1057" s="136">
        <f t="shared" si="33"/>
        <v>0</v>
      </c>
      <c r="J1057" s="73"/>
    </row>
    <row r="1058" spans="1:10" s="5" customFormat="1" hidden="1">
      <c r="A1058" s="1069"/>
      <c r="B1058" s="244"/>
      <c r="C1058" s="383"/>
      <c r="D1058" s="383"/>
      <c r="E1058" s="383"/>
      <c r="F1058" s="55"/>
      <c r="G1058" s="55"/>
      <c r="H1058" s="136">
        <f t="shared" si="32"/>
        <v>0</v>
      </c>
      <c r="I1058" s="136">
        <f t="shared" si="33"/>
        <v>0</v>
      </c>
      <c r="J1058" s="73"/>
    </row>
    <row r="1059" spans="1:10" s="5" customFormat="1" hidden="1">
      <c r="A1059" s="1069"/>
      <c r="B1059" s="244"/>
      <c r="C1059" s="383"/>
      <c r="D1059" s="383"/>
      <c r="E1059" s="383"/>
      <c r="F1059" s="55"/>
      <c r="G1059" s="55"/>
      <c r="H1059" s="136">
        <f t="shared" si="32"/>
        <v>0</v>
      </c>
      <c r="I1059" s="136">
        <f t="shared" si="33"/>
        <v>0</v>
      </c>
      <c r="J1059" s="73"/>
    </row>
    <row r="1060" spans="1:10" s="5" customFormat="1" hidden="1">
      <c r="A1060" s="1069"/>
      <c r="B1060" s="244"/>
      <c r="C1060" s="430"/>
      <c r="D1060" s="430"/>
      <c r="E1060" s="430"/>
      <c r="F1060" s="55"/>
      <c r="G1060" s="55"/>
      <c r="H1060" s="136">
        <f t="shared" si="32"/>
        <v>0</v>
      </c>
      <c r="I1060" s="136">
        <f t="shared" si="33"/>
        <v>0</v>
      </c>
      <c r="J1060" s="73"/>
    </row>
    <row r="1061" spans="1:10" s="5" customFormat="1" hidden="1">
      <c r="A1061" s="1069"/>
      <c r="B1061" s="244"/>
      <c r="C1061" s="430"/>
      <c r="D1061" s="430"/>
      <c r="E1061" s="430"/>
      <c r="F1061" s="55"/>
      <c r="G1061" s="55"/>
      <c r="H1061" s="136">
        <f t="shared" si="32"/>
        <v>0</v>
      </c>
      <c r="I1061" s="136">
        <f t="shared" si="33"/>
        <v>0</v>
      </c>
      <c r="J1061" s="73"/>
    </row>
    <row r="1062" spans="1:10" s="5" customFormat="1" hidden="1">
      <c r="A1062" s="1069"/>
      <c r="B1062" s="244"/>
      <c r="C1062" s="383"/>
      <c r="D1062" s="383"/>
      <c r="E1062" s="383"/>
      <c r="F1062" s="55"/>
      <c r="G1062" s="55"/>
      <c r="H1062" s="136">
        <f t="shared" si="32"/>
        <v>0</v>
      </c>
      <c r="I1062" s="136">
        <f t="shared" si="33"/>
        <v>0</v>
      </c>
      <c r="J1062" s="73"/>
    </row>
    <row r="1063" spans="1:10" s="5" customFormat="1" hidden="1">
      <c r="A1063" s="1069"/>
      <c r="B1063" s="244"/>
      <c r="C1063" s="430"/>
      <c r="D1063" s="430"/>
      <c r="E1063" s="430"/>
      <c r="F1063" s="55"/>
      <c r="G1063" s="55"/>
      <c r="H1063" s="136">
        <f t="shared" si="32"/>
        <v>0</v>
      </c>
      <c r="I1063" s="136">
        <f t="shared" si="33"/>
        <v>0</v>
      </c>
      <c r="J1063" s="73"/>
    </row>
    <row r="1064" spans="1:10" s="5" customFormat="1" hidden="1">
      <c r="A1064" s="1069"/>
      <c r="B1064" s="244"/>
      <c r="C1064" s="430"/>
      <c r="D1064" s="430"/>
      <c r="E1064" s="430"/>
      <c r="F1064" s="55"/>
      <c r="G1064" s="55"/>
      <c r="H1064" s="136">
        <f t="shared" si="32"/>
        <v>0</v>
      </c>
      <c r="I1064" s="136">
        <f t="shared" si="33"/>
        <v>0</v>
      </c>
      <c r="J1064" s="73"/>
    </row>
    <row r="1065" spans="1:10" s="5" customFormat="1" hidden="1">
      <c r="A1065" s="1069"/>
      <c r="B1065" s="244"/>
      <c r="C1065" s="430"/>
      <c r="D1065" s="430"/>
      <c r="E1065" s="430"/>
      <c r="F1065" s="55"/>
      <c r="G1065" s="55"/>
      <c r="H1065" s="136">
        <f t="shared" si="32"/>
        <v>0</v>
      </c>
      <c r="I1065" s="136">
        <f t="shared" si="33"/>
        <v>0</v>
      </c>
      <c r="J1065" s="73"/>
    </row>
    <row r="1066" spans="1:10" s="5" customFormat="1" hidden="1">
      <c r="A1066" s="1069"/>
      <c r="B1066" s="244"/>
      <c r="C1066" s="430"/>
      <c r="D1066" s="430"/>
      <c r="E1066" s="430"/>
      <c r="F1066" s="55"/>
      <c r="G1066" s="55"/>
      <c r="H1066" s="136">
        <f t="shared" si="32"/>
        <v>0</v>
      </c>
      <c r="I1066" s="136">
        <f t="shared" si="33"/>
        <v>0</v>
      </c>
      <c r="J1066" s="73"/>
    </row>
    <row r="1067" spans="1:10" s="5" customFormat="1" hidden="1">
      <c r="A1067" s="1069"/>
      <c r="B1067" s="244"/>
      <c r="C1067" s="383"/>
      <c r="D1067" s="383"/>
      <c r="E1067" s="433"/>
      <c r="F1067" s="55"/>
      <c r="G1067" s="55"/>
      <c r="H1067" s="136">
        <f t="shared" si="32"/>
        <v>0</v>
      </c>
      <c r="I1067" s="136">
        <f t="shared" si="33"/>
        <v>0</v>
      </c>
      <c r="J1067" s="73"/>
    </row>
    <row r="1068" spans="1:10" s="5" customFormat="1" hidden="1">
      <c r="A1068" s="1069"/>
      <c r="B1068" s="246"/>
      <c r="C1068" s="431"/>
      <c r="D1068" s="431"/>
      <c r="E1068" s="432"/>
      <c r="F1068" s="55"/>
      <c r="G1068" s="55"/>
      <c r="H1068" s="136">
        <f t="shared" si="32"/>
        <v>0</v>
      </c>
      <c r="I1068" s="136">
        <f t="shared" si="33"/>
        <v>0</v>
      </c>
      <c r="J1068" s="73"/>
    </row>
    <row r="1069" spans="1:10" s="5" customFormat="1" hidden="1">
      <c r="A1069" s="1069"/>
      <c r="B1069" s="246"/>
      <c r="C1069" s="434"/>
      <c r="D1069" s="434"/>
      <c r="E1069" s="435"/>
      <c r="F1069" s="55"/>
      <c r="G1069" s="55"/>
      <c r="H1069" s="136">
        <f t="shared" si="32"/>
        <v>0</v>
      </c>
      <c r="I1069" s="136">
        <f t="shared" si="33"/>
        <v>0</v>
      </c>
      <c r="J1069" s="73"/>
    </row>
    <row r="1070" spans="1:10" s="5" customFormat="1" hidden="1">
      <c r="A1070" s="1069"/>
      <c r="B1070" s="246"/>
      <c r="C1070" s="434"/>
      <c r="D1070" s="434"/>
      <c r="E1070" s="435"/>
      <c r="F1070" s="55"/>
      <c r="G1070" s="55"/>
      <c r="H1070" s="136">
        <f t="shared" si="32"/>
        <v>0</v>
      </c>
      <c r="I1070" s="136">
        <f t="shared" si="33"/>
        <v>0</v>
      </c>
      <c r="J1070" s="73"/>
    </row>
    <row r="1071" spans="1:10" s="5" customFormat="1" hidden="1">
      <c r="A1071" s="1069"/>
      <c r="B1071" s="246"/>
      <c r="C1071" s="434"/>
      <c r="D1071" s="434"/>
      <c r="E1071" s="435"/>
      <c r="F1071" s="55"/>
      <c r="G1071" s="55"/>
      <c r="H1071" s="136">
        <f t="shared" si="32"/>
        <v>0</v>
      </c>
      <c r="I1071" s="136">
        <f t="shared" si="33"/>
        <v>0</v>
      </c>
      <c r="J1071" s="73"/>
    </row>
    <row r="1072" spans="1:10" s="5" customFormat="1" hidden="1">
      <c r="A1072" s="1069"/>
      <c r="B1072" s="244"/>
      <c r="C1072" s="433"/>
      <c r="D1072" s="433"/>
      <c r="E1072" s="433"/>
      <c r="F1072" s="55"/>
      <c r="G1072" s="55"/>
      <c r="H1072" s="136">
        <f t="shared" si="32"/>
        <v>0</v>
      </c>
      <c r="I1072" s="136">
        <f t="shared" si="33"/>
        <v>0</v>
      </c>
      <c r="J1072" s="73"/>
    </row>
    <row r="1073" spans="1:10" s="5" customFormat="1" hidden="1">
      <c r="A1073" s="1069"/>
      <c r="B1073" s="244"/>
      <c r="C1073" s="433"/>
      <c r="D1073" s="433"/>
      <c r="E1073" s="433"/>
      <c r="F1073" s="55"/>
      <c r="G1073" s="55"/>
      <c r="H1073" s="136">
        <f t="shared" si="32"/>
        <v>0</v>
      </c>
      <c r="I1073" s="136">
        <f t="shared" si="33"/>
        <v>0</v>
      </c>
      <c r="J1073" s="73"/>
    </row>
    <row r="1074" spans="1:10" s="5" customFormat="1" hidden="1">
      <c r="A1074" s="1069"/>
      <c r="B1074" s="244"/>
      <c r="C1074" s="433"/>
      <c r="D1074" s="433"/>
      <c r="E1074" s="433"/>
      <c r="F1074" s="55"/>
      <c r="G1074" s="55"/>
      <c r="H1074" s="136">
        <f t="shared" si="32"/>
        <v>0</v>
      </c>
      <c r="I1074" s="136">
        <f t="shared" si="33"/>
        <v>0</v>
      </c>
      <c r="J1074" s="73"/>
    </row>
    <row r="1075" spans="1:10" s="5" customFormat="1" hidden="1">
      <c r="A1075" s="1069"/>
      <c r="B1075" s="244"/>
      <c r="C1075" s="433"/>
      <c r="D1075" s="433"/>
      <c r="E1075" s="433"/>
      <c r="F1075" s="55"/>
      <c r="G1075" s="55"/>
      <c r="H1075" s="136">
        <f t="shared" si="32"/>
        <v>0</v>
      </c>
      <c r="I1075" s="136">
        <f t="shared" si="33"/>
        <v>0</v>
      </c>
      <c r="J1075" s="73"/>
    </row>
    <row r="1076" spans="1:10" s="5" customFormat="1" hidden="1">
      <c r="A1076" s="1069"/>
      <c r="B1076" s="244"/>
      <c r="C1076" s="433"/>
      <c r="D1076" s="433"/>
      <c r="E1076" s="433"/>
      <c r="F1076" s="55"/>
      <c r="G1076" s="55"/>
      <c r="H1076" s="136">
        <f t="shared" si="32"/>
        <v>0</v>
      </c>
      <c r="I1076" s="136">
        <f t="shared" si="33"/>
        <v>0</v>
      </c>
      <c r="J1076" s="73"/>
    </row>
    <row r="1077" spans="1:10" s="5" customFormat="1" hidden="1">
      <c r="A1077" s="1069"/>
      <c r="B1077" s="244"/>
      <c r="C1077" s="433"/>
      <c r="D1077" s="433"/>
      <c r="E1077" s="433"/>
      <c r="F1077" s="55"/>
      <c r="G1077" s="55"/>
      <c r="H1077" s="136">
        <f t="shared" si="32"/>
        <v>0</v>
      </c>
      <c r="I1077" s="136">
        <f t="shared" si="33"/>
        <v>0</v>
      </c>
      <c r="J1077" s="73"/>
    </row>
    <row r="1078" spans="1:10" s="5" customFormat="1" hidden="1">
      <c r="A1078" s="1069"/>
      <c r="B1078" s="244"/>
      <c r="C1078" s="433"/>
      <c r="D1078" s="433"/>
      <c r="E1078" s="433"/>
      <c r="F1078" s="55"/>
      <c r="G1078" s="55"/>
      <c r="H1078" s="136">
        <f t="shared" si="32"/>
        <v>0</v>
      </c>
      <c r="I1078" s="136">
        <f t="shared" si="33"/>
        <v>0</v>
      </c>
      <c r="J1078" s="73"/>
    </row>
    <row r="1079" spans="1:10" s="5" customFormat="1" hidden="1">
      <c r="A1079" s="1069"/>
      <c r="B1079" s="244"/>
      <c r="C1079" s="433"/>
      <c r="D1079" s="433"/>
      <c r="E1079" s="433"/>
      <c r="F1079" s="55"/>
      <c r="G1079" s="55"/>
      <c r="H1079" s="136">
        <f t="shared" si="32"/>
        <v>0</v>
      </c>
      <c r="I1079" s="136">
        <f t="shared" si="33"/>
        <v>0</v>
      </c>
      <c r="J1079" s="73"/>
    </row>
    <row r="1080" spans="1:10" s="5" customFormat="1" hidden="1">
      <c r="A1080" s="1069"/>
      <c r="B1080" s="244"/>
      <c r="C1080" s="433"/>
      <c r="D1080" s="433"/>
      <c r="E1080" s="433"/>
      <c r="F1080" s="55"/>
      <c r="G1080" s="55"/>
      <c r="H1080" s="136">
        <f t="shared" si="32"/>
        <v>0</v>
      </c>
      <c r="I1080" s="136">
        <f t="shared" si="33"/>
        <v>0</v>
      </c>
      <c r="J1080" s="73"/>
    </row>
    <row r="1081" spans="1:10" s="5" customFormat="1" hidden="1">
      <c r="A1081" s="1069"/>
      <c r="B1081" s="244"/>
      <c r="C1081" s="433"/>
      <c r="D1081" s="433"/>
      <c r="E1081" s="433"/>
      <c r="F1081" s="55"/>
      <c r="G1081" s="55"/>
      <c r="H1081" s="136">
        <f t="shared" si="32"/>
        <v>0</v>
      </c>
      <c r="I1081" s="136">
        <f t="shared" si="33"/>
        <v>0</v>
      </c>
      <c r="J1081" s="73"/>
    </row>
    <row r="1082" spans="1:10" s="5" customFormat="1" hidden="1">
      <c r="A1082" s="1069"/>
      <c r="B1082" s="244"/>
      <c r="C1082" s="433"/>
      <c r="D1082" s="433"/>
      <c r="E1082" s="433"/>
      <c r="F1082" s="55"/>
      <c r="G1082" s="55"/>
      <c r="H1082" s="136">
        <f t="shared" si="32"/>
        <v>0</v>
      </c>
      <c r="I1082" s="136">
        <f t="shared" si="33"/>
        <v>0</v>
      </c>
      <c r="J1082" s="73"/>
    </row>
    <row r="1083" spans="1:10" s="5" customFormat="1" hidden="1">
      <c r="A1083" s="1069"/>
      <c r="B1083" s="244"/>
      <c r="C1083" s="433"/>
      <c r="D1083" s="433"/>
      <c r="E1083" s="433"/>
      <c r="F1083" s="55"/>
      <c r="G1083" s="55"/>
      <c r="H1083" s="136">
        <f t="shared" si="32"/>
        <v>0</v>
      </c>
      <c r="I1083" s="136">
        <f t="shared" si="33"/>
        <v>0</v>
      </c>
      <c r="J1083" s="73"/>
    </row>
    <row r="1084" spans="1:10" s="5" customFormat="1" hidden="1">
      <c r="A1084" s="1069"/>
      <c r="B1084" s="244"/>
      <c r="C1084" s="433"/>
      <c r="D1084" s="433"/>
      <c r="E1084" s="433"/>
      <c r="F1084" s="55"/>
      <c r="G1084" s="55"/>
      <c r="H1084" s="136">
        <f t="shared" si="32"/>
        <v>0</v>
      </c>
      <c r="I1084" s="136">
        <f t="shared" si="33"/>
        <v>0</v>
      </c>
      <c r="J1084" s="73"/>
    </row>
    <row r="1085" spans="1:10" s="5" customFormat="1" hidden="1">
      <c r="A1085" s="1069"/>
      <c r="B1085" s="244"/>
      <c r="C1085" s="433"/>
      <c r="D1085" s="433"/>
      <c r="E1085" s="433"/>
      <c r="F1085" s="55"/>
      <c r="G1085" s="55"/>
      <c r="H1085" s="136">
        <f t="shared" si="32"/>
        <v>0</v>
      </c>
      <c r="I1085" s="136">
        <f t="shared" si="33"/>
        <v>0</v>
      </c>
      <c r="J1085" s="73"/>
    </row>
    <row r="1086" spans="1:10" s="5" customFormat="1" hidden="1">
      <c r="A1086" s="1069"/>
      <c r="B1086" s="244"/>
      <c r="C1086" s="433"/>
      <c r="D1086" s="433"/>
      <c r="E1086" s="433"/>
      <c r="F1086" s="55"/>
      <c r="G1086" s="55"/>
      <c r="H1086" s="136">
        <f t="shared" si="32"/>
        <v>0</v>
      </c>
      <c r="I1086" s="136">
        <f t="shared" si="33"/>
        <v>0</v>
      </c>
      <c r="J1086" s="73"/>
    </row>
    <row r="1087" spans="1:10" ht="131.25">
      <c r="A1087" s="1068"/>
      <c r="B1087" s="310" t="s">
        <v>1681</v>
      </c>
      <c r="C1087" s="455">
        <v>46020</v>
      </c>
      <c r="D1087" s="471"/>
      <c r="E1087" s="471">
        <v>46020</v>
      </c>
      <c r="F1087" s="55"/>
      <c r="G1087" s="55"/>
      <c r="H1087" s="459">
        <f t="shared" si="32"/>
        <v>0</v>
      </c>
      <c r="I1087" s="459">
        <f t="shared" si="33"/>
        <v>92040</v>
      </c>
      <c r="J1087" s="460"/>
    </row>
    <row r="1088" spans="1:10">
      <c r="A1088" s="1068"/>
      <c r="B1088" s="467" t="s">
        <v>253</v>
      </c>
      <c r="C1088" s="474">
        <f>SUM(C1052:C1087)</f>
        <v>46020</v>
      </c>
      <c r="D1088" s="474">
        <f>SUM(D1052:D1087)</f>
        <v>0</v>
      </c>
      <c r="E1088" s="462">
        <f>SUM(E1052:E1087)</f>
        <v>46020</v>
      </c>
      <c r="F1088" s="75">
        <f>SUM(F1042:F1050)</f>
        <v>0</v>
      </c>
      <c r="G1088" s="75">
        <f>SUM(G1042:G1050)</f>
        <v>0</v>
      </c>
      <c r="H1088" s="459">
        <f t="shared" si="32"/>
        <v>0</v>
      </c>
      <c r="I1088" s="459">
        <f t="shared" si="33"/>
        <v>92040</v>
      </c>
      <c r="J1088" s="460"/>
    </row>
    <row r="1089" spans="1:10" ht="93.75">
      <c r="A1089" s="1068" t="s">
        <v>455</v>
      </c>
      <c r="B1089" s="310" t="s">
        <v>1821</v>
      </c>
      <c r="C1089" s="469">
        <v>10100</v>
      </c>
      <c r="D1089" s="469"/>
      <c r="E1089" s="469">
        <v>10100</v>
      </c>
      <c r="F1089" s="138"/>
      <c r="G1089" s="138"/>
      <c r="H1089" s="459">
        <f t="shared" si="32"/>
        <v>0</v>
      </c>
      <c r="I1089" s="459">
        <f t="shared" si="33"/>
        <v>20200</v>
      </c>
      <c r="J1089" s="460"/>
    </row>
    <row r="1090" spans="1:10" ht="131.25">
      <c r="A1090" s="1068"/>
      <c r="B1090" s="310" t="s">
        <v>1681</v>
      </c>
      <c r="C1090" s="455">
        <v>13150</v>
      </c>
      <c r="D1090" s="455"/>
      <c r="E1090" s="456">
        <v>13150</v>
      </c>
      <c r="F1090" s="413"/>
      <c r="G1090" s="413"/>
      <c r="H1090" s="459">
        <f t="shared" si="32"/>
        <v>0</v>
      </c>
      <c r="I1090" s="459">
        <f t="shared" si="33"/>
        <v>26300</v>
      </c>
      <c r="J1090" s="460"/>
    </row>
    <row r="1091" spans="1:10" s="5" customFormat="1" hidden="1">
      <c r="A1091" s="1069"/>
      <c r="B1091" s="249"/>
      <c r="C1091" s="430"/>
      <c r="D1091" s="430"/>
      <c r="E1091" s="430"/>
      <c r="F1091" s="55"/>
      <c r="G1091" s="55"/>
      <c r="H1091" s="136">
        <f t="shared" si="32"/>
        <v>0</v>
      </c>
      <c r="I1091" s="136">
        <f t="shared" si="33"/>
        <v>0</v>
      </c>
      <c r="J1091" s="73"/>
    </row>
    <row r="1092" spans="1:10" s="5" customFormat="1" hidden="1">
      <c r="A1092" s="1069"/>
      <c r="B1092" s="249"/>
      <c r="C1092" s="430"/>
      <c r="D1092" s="430"/>
      <c r="E1092" s="430"/>
      <c r="F1092" s="55"/>
      <c r="G1092" s="55"/>
      <c r="H1092" s="136">
        <f t="shared" si="32"/>
        <v>0</v>
      </c>
      <c r="I1092" s="136">
        <f t="shared" si="33"/>
        <v>0</v>
      </c>
      <c r="J1092" s="73"/>
    </row>
    <row r="1093" spans="1:10" s="5" customFormat="1" hidden="1">
      <c r="A1093" s="1069"/>
      <c r="B1093" s="249"/>
      <c r="C1093" s="430"/>
      <c r="D1093" s="430"/>
      <c r="E1093" s="430"/>
      <c r="F1093" s="55"/>
      <c r="G1093" s="55"/>
      <c r="H1093" s="136">
        <f t="shared" si="32"/>
        <v>0</v>
      </c>
      <c r="I1093" s="136">
        <f t="shared" si="33"/>
        <v>0</v>
      </c>
      <c r="J1093" s="73"/>
    </row>
    <row r="1094" spans="1:10" s="5" customFormat="1" hidden="1">
      <c r="A1094" s="1069"/>
      <c r="B1094" s="249"/>
      <c r="C1094" s="430"/>
      <c r="D1094" s="430"/>
      <c r="E1094" s="430"/>
      <c r="F1094" s="55"/>
      <c r="G1094" s="55"/>
      <c r="H1094" s="136">
        <f t="shared" si="32"/>
        <v>0</v>
      </c>
      <c r="I1094" s="136">
        <f t="shared" si="33"/>
        <v>0</v>
      </c>
      <c r="J1094" s="73"/>
    </row>
    <row r="1095" spans="1:10" s="5" customFormat="1" hidden="1">
      <c r="A1095" s="1069"/>
      <c r="B1095" s="244"/>
      <c r="C1095" s="383"/>
      <c r="D1095" s="383"/>
      <c r="E1095" s="430"/>
      <c r="F1095" s="55"/>
      <c r="G1095" s="55"/>
      <c r="H1095" s="136">
        <f t="shared" si="32"/>
        <v>0</v>
      </c>
      <c r="I1095" s="136">
        <f t="shared" si="33"/>
        <v>0</v>
      </c>
      <c r="J1095" s="73"/>
    </row>
    <row r="1096" spans="1:10" s="5" customFormat="1" hidden="1">
      <c r="A1096" s="1069"/>
      <c r="B1096" s="244"/>
      <c r="C1096" s="383"/>
      <c r="D1096" s="383"/>
      <c r="E1096" s="430"/>
      <c r="F1096" s="55"/>
      <c r="G1096" s="55"/>
      <c r="H1096" s="136">
        <f t="shared" si="32"/>
        <v>0</v>
      </c>
      <c r="I1096" s="136">
        <f t="shared" si="33"/>
        <v>0</v>
      </c>
      <c r="J1096" s="73"/>
    </row>
    <row r="1097" spans="1:10" s="5" customFormat="1" hidden="1">
      <c r="A1097" s="1069"/>
      <c r="B1097" s="244"/>
      <c r="C1097" s="383"/>
      <c r="D1097" s="383"/>
      <c r="E1097" s="430"/>
      <c r="F1097" s="55"/>
      <c r="G1097" s="55"/>
      <c r="H1097" s="136">
        <f t="shared" ref="H1097:H1160" si="34">E1097+D1097-C1097</f>
        <v>0</v>
      </c>
      <c r="I1097" s="136">
        <f t="shared" ref="I1097:I1160" si="35">SUM(C1097:E1097)</f>
        <v>0</v>
      </c>
      <c r="J1097" s="73"/>
    </row>
    <row r="1098" spans="1:10" s="5" customFormat="1" hidden="1">
      <c r="A1098" s="1069"/>
      <c r="B1098" s="244"/>
      <c r="C1098" s="430"/>
      <c r="D1098" s="430"/>
      <c r="E1098" s="430"/>
      <c r="F1098" s="55"/>
      <c r="G1098" s="55"/>
      <c r="H1098" s="136">
        <f t="shared" si="34"/>
        <v>0</v>
      </c>
      <c r="I1098" s="136">
        <f t="shared" si="35"/>
        <v>0</v>
      </c>
      <c r="J1098" s="73"/>
    </row>
    <row r="1099" spans="1:10" s="5" customFormat="1" hidden="1">
      <c r="A1099" s="1069"/>
      <c r="B1099" s="244"/>
      <c r="C1099" s="430"/>
      <c r="D1099" s="430"/>
      <c r="E1099" s="430"/>
      <c r="F1099" s="55"/>
      <c r="G1099" s="55"/>
      <c r="H1099" s="136">
        <f t="shared" si="34"/>
        <v>0</v>
      </c>
      <c r="I1099" s="136">
        <f t="shared" si="35"/>
        <v>0</v>
      </c>
      <c r="J1099" s="73"/>
    </row>
    <row r="1100" spans="1:10" s="5" customFormat="1" hidden="1">
      <c r="A1100" s="1069"/>
      <c r="B1100" s="244"/>
      <c r="C1100" s="430"/>
      <c r="D1100" s="430"/>
      <c r="E1100" s="430"/>
      <c r="F1100" s="55"/>
      <c r="G1100" s="55"/>
      <c r="H1100" s="136">
        <f t="shared" si="34"/>
        <v>0</v>
      </c>
      <c r="I1100" s="136">
        <f t="shared" si="35"/>
        <v>0</v>
      </c>
      <c r="J1100" s="73"/>
    </row>
    <row r="1101" spans="1:10" s="5" customFormat="1" hidden="1">
      <c r="A1101" s="1069"/>
      <c r="B1101" s="244"/>
      <c r="C1101" s="430"/>
      <c r="D1101" s="430"/>
      <c r="E1101" s="430"/>
      <c r="F1101" s="55"/>
      <c r="G1101" s="55"/>
      <c r="H1101" s="136">
        <f t="shared" si="34"/>
        <v>0</v>
      </c>
      <c r="I1101" s="136">
        <f t="shared" si="35"/>
        <v>0</v>
      </c>
      <c r="J1101" s="73"/>
    </row>
    <row r="1102" spans="1:10" s="5" customFormat="1" hidden="1">
      <c r="A1102" s="1069"/>
      <c r="B1102" s="244"/>
      <c r="C1102" s="430"/>
      <c r="D1102" s="430"/>
      <c r="E1102" s="430"/>
      <c r="F1102" s="55"/>
      <c r="G1102" s="55"/>
      <c r="H1102" s="136">
        <f t="shared" si="34"/>
        <v>0</v>
      </c>
      <c r="I1102" s="136">
        <f t="shared" si="35"/>
        <v>0</v>
      </c>
      <c r="J1102" s="73"/>
    </row>
    <row r="1103" spans="1:10" s="5" customFormat="1" hidden="1">
      <c r="A1103" s="1069"/>
      <c r="B1103" s="244"/>
      <c r="C1103" s="430"/>
      <c r="D1103" s="430"/>
      <c r="E1103" s="430"/>
      <c r="F1103" s="55"/>
      <c r="G1103" s="55"/>
      <c r="H1103" s="136">
        <f t="shared" si="34"/>
        <v>0</v>
      </c>
      <c r="I1103" s="136">
        <f t="shared" si="35"/>
        <v>0</v>
      </c>
      <c r="J1103" s="73"/>
    </row>
    <row r="1104" spans="1:10" s="5" customFormat="1" hidden="1">
      <c r="A1104" s="1069"/>
      <c r="B1104" s="244"/>
      <c r="C1104" s="383"/>
      <c r="D1104" s="383"/>
      <c r="E1104" s="383"/>
      <c r="F1104" s="136">
        <v>0</v>
      </c>
      <c r="G1104" s="136">
        <v>20000</v>
      </c>
      <c r="H1104" s="136">
        <f t="shared" si="34"/>
        <v>0</v>
      </c>
      <c r="I1104" s="136">
        <f t="shared" si="35"/>
        <v>0</v>
      </c>
      <c r="J1104" s="73"/>
    </row>
    <row r="1105" spans="1:10" s="5" customFormat="1" hidden="1">
      <c r="A1105" s="1069"/>
      <c r="B1105" s="244"/>
      <c r="C1105" s="383"/>
      <c r="D1105" s="383"/>
      <c r="E1105" s="383"/>
      <c r="F1105" s="136">
        <v>0</v>
      </c>
      <c r="G1105" s="136">
        <v>20000</v>
      </c>
      <c r="H1105" s="136">
        <f t="shared" si="34"/>
        <v>0</v>
      </c>
      <c r="I1105" s="136">
        <f t="shared" si="35"/>
        <v>0</v>
      </c>
      <c r="J1105" s="73"/>
    </row>
    <row r="1106" spans="1:10" s="5" customFormat="1" hidden="1">
      <c r="A1106" s="1069"/>
      <c r="B1106" s="244"/>
      <c r="C1106" s="383"/>
      <c r="D1106" s="383"/>
      <c r="E1106" s="383"/>
      <c r="F1106" s="136">
        <v>0</v>
      </c>
      <c r="G1106" s="136">
        <v>19294</v>
      </c>
      <c r="H1106" s="136">
        <f t="shared" si="34"/>
        <v>0</v>
      </c>
      <c r="I1106" s="136">
        <f t="shared" si="35"/>
        <v>0</v>
      </c>
      <c r="J1106" s="73"/>
    </row>
    <row r="1107" spans="1:10" s="5" customFormat="1" hidden="1">
      <c r="A1107" s="1069"/>
      <c r="B1107" s="244"/>
      <c r="C1107" s="383"/>
      <c r="D1107" s="383"/>
      <c r="E1107" s="383"/>
      <c r="F1107" s="136">
        <v>0</v>
      </c>
      <c r="G1107" s="136">
        <v>40000</v>
      </c>
      <c r="H1107" s="136">
        <f t="shared" si="34"/>
        <v>0</v>
      </c>
      <c r="I1107" s="136">
        <f t="shared" si="35"/>
        <v>0</v>
      </c>
      <c r="J1107" s="73"/>
    </row>
    <row r="1108" spans="1:10" s="5" customFormat="1" hidden="1">
      <c r="A1108" s="1069"/>
      <c r="B1108" s="244"/>
      <c r="C1108" s="383"/>
      <c r="D1108" s="383"/>
      <c r="E1108" s="383"/>
      <c r="F1108" s="136">
        <v>0</v>
      </c>
      <c r="G1108" s="136">
        <v>20000</v>
      </c>
      <c r="H1108" s="136">
        <f t="shared" si="34"/>
        <v>0</v>
      </c>
      <c r="I1108" s="136">
        <f t="shared" si="35"/>
        <v>0</v>
      </c>
      <c r="J1108" s="73"/>
    </row>
    <row r="1109" spans="1:10" s="5" customFormat="1" hidden="1">
      <c r="A1109" s="1069"/>
      <c r="B1109" s="244"/>
      <c r="C1109" s="383"/>
      <c r="D1109" s="383"/>
      <c r="E1109" s="433"/>
      <c r="F1109" s="55"/>
      <c r="G1109" s="55"/>
      <c r="H1109" s="136">
        <f t="shared" si="34"/>
        <v>0</v>
      </c>
      <c r="I1109" s="136">
        <f t="shared" si="35"/>
        <v>0</v>
      </c>
      <c r="J1109" s="73"/>
    </row>
    <row r="1110" spans="1:10" s="5" customFormat="1" hidden="1">
      <c r="A1110" s="1069"/>
      <c r="B1110" s="246"/>
      <c r="C1110" s="431"/>
      <c r="D1110" s="431"/>
      <c r="E1110" s="432"/>
      <c r="F1110" s="55"/>
      <c r="G1110" s="55"/>
      <c r="H1110" s="136">
        <f t="shared" si="34"/>
        <v>0</v>
      </c>
      <c r="I1110" s="136">
        <f t="shared" si="35"/>
        <v>0</v>
      </c>
      <c r="J1110" s="73"/>
    </row>
    <row r="1111" spans="1:10" s="5" customFormat="1" hidden="1">
      <c r="A1111" s="1069"/>
      <c r="B1111" s="246"/>
      <c r="C1111" s="431"/>
      <c r="D1111" s="431"/>
      <c r="E1111" s="432"/>
      <c r="F1111" s="55"/>
      <c r="G1111" s="55"/>
      <c r="H1111" s="136">
        <f t="shared" si="34"/>
        <v>0</v>
      </c>
      <c r="I1111" s="136">
        <f t="shared" si="35"/>
        <v>0</v>
      </c>
      <c r="J1111" s="73"/>
    </row>
    <row r="1112" spans="1:10" s="5" customFormat="1" hidden="1">
      <c r="A1112" s="1069"/>
      <c r="B1112" s="246"/>
      <c r="C1112" s="431"/>
      <c r="D1112" s="431"/>
      <c r="E1112" s="432"/>
      <c r="F1112" s="55"/>
      <c r="G1112" s="55"/>
      <c r="H1112" s="136">
        <f t="shared" si="34"/>
        <v>0</v>
      </c>
      <c r="I1112" s="136">
        <f t="shared" si="35"/>
        <v>0</v>
      </c>
      <c r="J1112" s="73"/>
    </row>
    <row r="1113" spans="1:10" s="5" customFormat="1" hidden="1">
      <c r="A1113" s="1069"/>
      <c r="B1113" s="246"/>
      <c r="C1113" s="434"/>
      <c r="D1113" s="434"/>
      <c r="E1113" s="435"/>
      <c r="F1113" s="55"/>
      <c r="G1113" s="55"/>
      <c r="H1113" s="136">
        <f t="shared" si="34"/>
        <v>0</v>
      </c>
      <c r="I1113" s="136">
        <f t="shared" si="35"/>
        <v>0</v>
      </c>
      <c r="J1113" s="73"/>
    </row>
    <row r="1114" spans="1:10" s="5" customFormat="1" hidden="1">
      <c r="A1114" s="1069"/>
      <c r="B1114" s="246"/>
      <c r="C1114" s="431"/>
      <c r="D1114" s="431"/>
      <c r="E1114" s="432"/>
      <c r="F1114" s="55"/>
      <c r="G1114" s="55"/>
      <c r="H1114" s="136">
        <f t="shared" si="34"/>
        <v>0</v>
      </c>
      <c r="I1114" s="136">
        <f t="shared" si="35"/>
        <v>0</v>
      </c>
      <c r="J1114" s="73"/>
    </row>
    <row r="1115" spans="1:10" s="5" customFormat="1" hidden="1">
      <c r="A1115" s="1069"/>
      <c r="B1115" s="246"/>
      <c r="C1115" s="431"/>
      <c r="D1115" s="431"/>
      <c r="E1115" s="432"/>
      <c r="F1115" s="55"/>
      <c r="G1115" s="55"/>
      <c r="H1115" s="136">
        <f t="shared" si="34"/>
        <v>0</v>
      </c>
      <c r="I1115" s="136">
        <f t="shared" si="35"/>
        <v>0</v>
      </c>
      <c r="J1115" s="73"/>
    </row>
    <row r="1116" spans="1:10" s="5" customFormat="1" hidden="1">
      <c r="A1116" s="1069"/>
      <c r="B1116" s="246"/>
      <c r="C1116" s="431"/>
      <c r="D1116" s="431"/>
      <c r="E1116" s="432"/>
      <c r="F1116" s="55"/>
      <c r="G1116" s="55"/>
      <c r="H1116" s="136">
        <f t="shared" si="34"/>
        <v>0</v>
      </c>
      <c r="I1116" s="136">
        <f t="shared" si="35"/>
        <v>0</v>
      </c>
      <c r="J1116" s="73"/>
    </row>
    <row r="1117" spans="1:10" s="5" customFormat="1" hidden="1">
      <c r="A1117" s="1069"/>
      <c r="B1117" s="246"/>
      <c r="C1117" s="431"/>
      <c r="D1117" s="431"/>
      <c r="E1117" s="432"/>
      <c r="F1117" s="55"/>
      <c r="G1117" s="55"/>
      <c r="H1117" s="136">
        <f t="shared" si="34"/>
        <v>0</v>
      </c>
      <c r="I1117" s="136">
        <f t="shared" si="35"/>
        <v>0</v>
      </c>
      <c r="J1117" s="73"/>
    </row>
    <row r="1118" spans="1:10" s="5" customFormat="1" hidden="1">
      <c r="A1118" s="1069"/>
      <c r="B1118" s="246"/>
      <c r="C1118" s="431"/>
      <c r="D1118" s="431"/>
      <c r="E1118" s="432"/>
      <c r="F1118" s="55"/>
      <c r="G1118" s="55"/>
      <c r="H1118" s="136">
        <f t="shared" si="34"/>
        <v>0</v>
      </c>
      <c r="I1118" s="136">
        <f t="shared" si="35"/>
        <v>0</v>
      </c>
      <c r="J1118" s="73"/>
    </row>
    <row r="1119" spans="1:10" s="5" customFormat="1" hidden="1">
      <c r="A1119" s="1069"/>
      <c r="B1119" s="246"/>
      <c r="C1119" s="431"/>
      <c r="D1119" s="431"/>
      <c r="E1119" s="432"/>
      <c r="F1119" s="55"/>
      <c r="G1119" s="55"/>
      <c r="H1119" s="136">
        <f t="shared" si="34"/>
        <v>0</v>
      </c>
      <c r="I1119" s="136">
        <f t="shared" si="35"/>
        <v>0</v>
      </c>
      <c r="J1119" s="73"/>
    </row>
    <row r="1120" spans="1:10" s="5" customFormat="1" hidden="1">
      <c r="A1120" s="1069"/>
      <c r="B1120" s="246"/>
      <c r="C1120" s="431"/>
      <c r="D1120" s="431"/>
      <c r="E1120" s="432"/>
      <c r="F1120" s="55"/>
      <c r="G1120" s="55"/>
      <c r="H1120" s="136">
        <f t="shared" si="34"/>
        <v>0</v>
      </c>
      <c r="I1120" s="136">
        <f t="shared" si="35"/>
        <v>0</v>
      </c>
      <c r="J1120" s="73"/>
    </row>
    <row r="1121" spans="1:10" s="5" customFormat="1" hidden="1">
      <c r="A1121" s="1069"/>
      <c r="B1121" s="246"/>
      <c r="C1121" s="431"/>
      <c r="D1121" s="431"/>
      <c r="E1121" s="432"/>
      <c r="F1121" s="55"/>
      <c r="G1121" s="55"/>
      <c r="H1121" s="136">
        <f t="shared" si="34"/>
        <v>0</v>
      </c>
      <c r="I1121" s="136">
        <f t="shared" si="35"/>
        <v>0</v>
      </c>
      <c r="J1121" s="73"/>
    </row>
    <row r="1122" spans="1:10" s="5" customFormat="1" hidden="1">
      <c r="A1122" s="1069"/>
      <c r="B1122" s="246"/>
      <c r="C1122" s="431"/>
      <c r="D1122" s="431"/>
      <c r="E1122" s="432"/>
      <c r="F1122" s="55"/>
      <c r="G1122" s="55"/>
      <c r="H1122" s="136">
        <f t="shared" si="34"/>
        <v>0</v>
      </c>
      <c r="I1122" s="136">
        <f t="shared" si="35"/>
        <v>0</v>
      </c>
      <c r="J1122" s="73"/>
    </row>
    <row r="1123" spans="1:10" s="5" customFormat="1" hidden="1">
      <c r="A1123" s="1069"/>
      <c r="B1123" s="246"/>
      <c r="C1123" s="431"/>
      <c r="D1123" s="431"/>
      <c r="E1123" s="432"/>
      <c r="F1123" s="55"/>
      <c r="G1123" s="55"/>
      <c r="H1123" s="136">
        <f t="shared" si="34"/>
        <v>0</v>
      </c>
      <c r="I1123" s="136">
        <f t="shared" si="35"/>
        <v>0</v>
      </c>
      <c r="J1123" s="73"/>
    </row>
    <row r="1124" spans="1:10" s="5" customFormat="1" hidden="1">
      <c r="A1124" s="1069"/>
      <c r="B1124" s="246"/>
      <c r="C1124" s="431"/>
      <c r="D1124" s="431"/>
      <c r="E1124" s="432"/>
      <c r="F1124" s="55"/>
      <c r="G1124" s="55"/>
      <c r="H1124" s="136">
        <f t="shared" si="34"/>
        <v>0</v>
      </c>
      <c r="I1124" s="136">
        <f t="shared" si="35"/>
        <v>0</v>
      </c>
      <c r="J1124" s="73"/>
    </row>
    <row r="1125" spans="1:10" s="5" customFormat="1" hidden="1">
      <c r="A1125" s="1069"/>
      <c r="B1125" s="246"/>
      <c r="C1125" s="431"/>
      <c r="D1125" s="431"/>
      <c r="E1125" s="432"/>
      <c r="F1125" s="55"/>
      <c r="G1125" s="55"/>
      <c r="H1125" s="136">
        <f t="shared" si="34"/>
        <v>0</v>
      </c>
      <c r="I1125" s="136">
        <f t="shared" si="35"/>
        <v>0</v>
      </c>
      <c r="J1125" s="73"/>
    </row>
    <row r="1126" spans="1:10" s="5" customFormat="1" hidden="1">
      <c r="A1126" s="1069"/>
      <c r="B1126" s="246"/>
      <c r="C1126" s="431"/>
      <c r="D1126" s="431"/>
      <c r="E1126" s="432"/>
      <c r="F1126" s="55"/>
      <c r="G1126" s="55"/>
      <c r="H1126" s="136">
        <f t="shared" si="34"/>
        <v>0</v>
      </c>
      <c r="I1126" s="136">
        <f t="shared" si="35"/>
        <v>0</v>
      </c>
      <c r="J1126" s="73"/>
    </row>
    <row r="1127" spans="1:10" s="5" customFormat="1" hidden="1">
      <c r="A1127" s="1069"/>
      <c r="B1127" s="246"/>
      <c r="C1127" s="431"/>
      <c r="D1127" s="431"/>
      <c r="E1127" s="432"/>
      <c r="F1127" s="55"/>
      <c r="G1127" s="55"/>
      <c r="H1127" s="136">
        <f t="shared" si="34"/>
        <v>0</v>
      </c>
      <c r="I1127" s="136">
        <f t="shared" si="35"/>
        <v>0</v>
      </c>
      <c r="J1127" s="73"/>
    </row>
    <row r="1128" spans="1:10" s="5" customFormat="1" hidden="1">
      <c r="A1128" s="1069"/>
      <c r="B1128" s="246"/>
      <c r="C1128" s="431"/>
      <c r="D1128" s="431"/>
      <c r="E1128" s="432"/>
      <c r="F1128" s="55"/>
      <c r="G1128" s="55"/>
      <c r="H1128" s="136">
        <f t="shared" si="34"/>
        <v>0</v>
      </c>
      <c r="I1128" s="136">
        <f t="shared" si="35"/>
        <v>0</v>
      </c>
      <c r="J1128" s="73"/>
    </row>
    <row r="1129" spans="1:10" s="5" customFormat="1" hidden="1">
      <c r="A1129" s="1069"/>
      <c r="B1129" s="246"/>
      <c r="C1129" s="431"/>
      <c r="D1129" s="431"/>
      <c r="E1129" s="432"/>
      <c r="F1129" s="55"/>
      <c r="G1129" s="55"/>
      <c r="H1129" s="136">
        <f t="shared" si="34"/>
        <v>0</v>
      </c>
      <c r="I1129" s="136">
        <f t="shared" si="35"/>
        <v>0</v>
      </c>
      <c r="J1129" s="73"/>
    </row>
    <row r="1130" spans="1:10" s="5" customFormat="1" hidden="1">
      <c r="A1130" s="1069"/>
      <c r="B1130" s="246"/>
      <c r="C1130" s="431"/>
      <c r="D1130" s="431"/>
      <c r="E1130" s="432"/>
      <c r="F1130" s="55"/>
      <c r="G1130" s="55"/>
      <c r="H1130" s="136">
        <f t="shared" si="34"/>
        <v>0</v>
      </c>
      <c r="I1130" s="136">
        <f t="shared" si="35"/>
        <v>0</v>
      </c>
      <c r="J1130" s="73"/>
    </row>
    <row r="1131" spans="1:10" s="5" customFormat="1" hidden="1">
      <c r="A1131" s="1069"/>
      <c r="B1131" s="246"/>
      <c r="C1131" s="431"/>
      <c r="D1131" s="431"/>
      <c r="E1131" s="432"/>
      <c r="F1131" s="55"/>
      <c r="G1131" s="55"/>
      <c r="H1131" s="136">
        <f t="shared" si="34"/>
        <v>0</v>
      </c>
      <c r="I1131" s="136">
        <f t="shared" si="35"/>
        <v>0</v>
      </c>
      <c r="J1131" s="73"/>
    </row>
    <row r="1132" spans="1:10" s="5" customFormat="1" hidden="1">
      <c r="A1132" s="1069"/>
      <c r="B1132" s="246"/>
      <c r="C1132" s="431"/>
      <c r="D1132" s="431"/>
      <c r="E1132" s="432"/>
      <c r="F1132" s="55"/>
      <c r="G1132" s="55"/>
      <c r="H1132" s="136">
        <f t="shared" si="34"/>
        <v>0</v>
      </c>
      <c r="I1132" s="136">
        <f t="shared" si="35"/>
        <v>0</v>
      </c>
      <c r="J1132" s="73"/>
    </row>
    <row r="1133" spans="1:10" s="5" customFormat="1" hidden="1">
      <c r="A1133" s="1069"/>
      <c r="B1133" s="246"/>
      <c r="C1133" s="431"/>
      <c r="D1133" s="431"/>
      <c r="E1133" s="432"/>
      <c r="F1133" s="55"/>
      <c r="G1133" s="55"/>
      <c r="H1133" s="136">
        <f t="shared" si="34"/>
        <v>0</v>
      </c>
      <c r="I1133" s="136">
        <f t="shared" si="35"/>
        <v>0</v>
      </c>
      <c r="J1133" s="73"/>
    </row>
    <row r="1134" spans="1:10" s="5" customFormat="1" hidden="1">
      <c r="A1134" s="1069"/>
      <c r="B1134" s="244"/>
      <c r="C1134" s="383"/>
      <c r="D1134" s="383"/>
      <c r="E1134" s="433"/>
      <c r="F1134" s="55"/>
      <c r="G1134" s="55"/>
      <c r="H1134" s="136">
        <f t="shared" si="34"/>
        <v>0</v>
      </c>
      <c r="I1134" s="136">
        <f t="shared" si="35"/>
        <v>0</v>
      </c>
      <c r="J1134" s="73"/>
    </row>
    <row r="1135" spans="1:10" s="5" customFormat="1" hidden="1">
      <c r="A1135" s="1069"/>
      <c r="B1135" s="244"/>
      <c r="C1135" s="383"/>
      <c r="D1135" s="383"/>
      <c r="E1135" s="433"/>
      <c r="F1135" s="55"/>
      <c r="G1135" s="55"/>
      <c r="H1135" s="136">
        <f t="shared" si="34"/>
        <v>0</v>
      </c>
      <c r="I1135" s="136">
        <f t="shared" si="35"/>
        <v>0</v>
      </c>
      <c r="J1135" s="73"/>
    </row>
    <row r="1136" spans="1:10">
      <c r="A1136" s="1068"/>
      <c r="B1136" s="461" t="s">
        <v>253</v>
      </c>
      <c r="C1136" s="462">
        <f>SUM(C1089:C1135)</f>
        <v>23250</v>
      </c>
      <c r="D1136" s="462">
        <f>SUM(D1089:D1135)</f>
        <v>0</v>
      </c>
      <c r="E1136" s="462">
        <f>SUM(E1089:E1135)</f>
        <v>23250</v>
      </c>
      <c r="F1136" s="75">
        <f>SUM(F1089:F1097)</f>
        <v>0</v>
      </c>
      <c r="G1136" s="75">
        <f>SUM(G1089:G1097)</f>
        <v>0</v>
      </c>
      <c r="H1136" s="459">
        <f t="shared" si="34"/>
        <v>0</v>
      </c>
      <c r="I1136" s="459">
        <f t="shared" si="35"/>
        <v>46500</v>
      </c>
      <c r="J1136" s="460"/>
    </row>
    <row r="1137" spans="1:10" ht="93.75">
      <c r="A1137" s="1070" t="s">
        <v>456</v>
      </c>
      <c r="B1137" s="310" t="s">
        <v>1052</v>
      </c>
      <c r="C1137" s="469">
        <v>19800</v>
      </c>
      <c r="D1137" s="469"/>
      <c r="E1137" s="469">
        <v>19800</v>
      </c>
      <c r="F1137" s="138"/>
      <c r="G1137" s="138"/>
      <c r="H1137" s="459">
        <f t="shared" si="34"/>
        <v>0</v>
      </c>
      <c r="I1137" s="459">
        <f t="shared" si="35"/>
        <v>39600</v>
      </c>
      <c r="J1137" s="460"/>
    </row>
    <row r="1138" spans="1:10" ht="131.25">
      <c r="A1138" s="1071"/>
      <c r="B1138" s="310" t="s">
        <v>1681</v>
      </c>
      <c r="C1138" s="469">
        <v>26290</v>
      </c>
      <c r="D1138" s="469"/>
      <c r="E1138" s="469">
        <v>26290</v>
      </c>
      <c r="F1138" s="55"/>
      <c r="G1138" s="55"/>
      <c r="H1138" s="459">
        <f t="shared" si="34"/>
        <v>0</v>
      </c>
      <c r="I1138" s="459">
        <f t="shared" si="35"/>
        <v>52580</v>
      </c>
      <c r="J1138" s="460"/>
    </row>
    <row r="1139" spans="1:10" s="5" customFormat="1" hidden="1">
      <c r="A1139" s="1072"/>
      <c r="B1139" s="244"/>
      <c r="C1139" s="383"/>
      <c r="D1139" s="383"/>
      <c r="E1139" s="430"/>
      <c r="F1139" s="55"/>
      <c r="G1139" s="55"/>
      <c r="H1139" s="136">
        <f t="shared" si="34"/>
        <v>0</v>
      </c>
      <c r="I1139" s="136">
        <f t="shared" si="35"/>
        <v>0</v>
      </c>
      <c r="J1139" s="73"/>
    </row>
    <row r="1140" spans="1:10" s="5" customFormat="1" hidden="1">
      <c r="A1140" s="1072"/>
      <c r="B1140" s="244"/>
      <c r="C1140" s="383"/>
      <c r="D1140" s="383"/>
      <c r="E1140" s="430"/>
      <c r="F1140" s="55"/>
      <c r="G1140" s="55"/>
      <c r="H1140" s="136">
        <f t="shared" si="34"/>
        <v>0</v>
      </c>
      <c r="I1140" s="136">
        <f t="shared" si="35"/>
        <v>0</v>
      </c>
      <c r="J1140" s="73"/>
    </row>
    <row r="1141" spans="1:10" s="5" customFormat="1" hidden="1">
      <c r="A1141" s="1072"/>
      <c r="B1141" s="244"/>
      <c r="C1141" s="383"/>
      <c r="D1141" s="383"/>
      <c r="E1141" s="430"/>
      <c r="F1141" s="55"/>
      <c r="G1141" s="55"/>
      <c r="H1141" s="136">
        <f t="shared" si="34"/>
        <v>0</v>
      </c>
      <c r="I1141" s="136">
        <f t="shared" si="35"/>
        <v>0</v>
      </c>
      <c r="J1141" s="73"/>
    </row>
    <row r="1142" spans="1:10" s="5" customFormat="1" hidden="1">
      <c r="A1142" s="1072"/>
      <c r="B1142" s="244"/>
      <c r="C1142" s="383"/>
      <c r="D1142" s="383"/>
      <c r="E1142" s="430"/>
      <c r="F1142" s="55"/>
      <c r="G1142" s="55"/>
      <c r="H1142" s="136">
        <f t="shared" si="34"/>
        <v>0</v>
      </c>
      <c r="I1142" s="136">
        <f t="shared" si="35"/>
        <v>0</v>
      </c>
      <c r="J1142" s="73"/>
    </row>
    <row r="1143" spans="1:10" s="5" customFormat="1" hidden="1">
      <c r="A1143" s="1072"/>
      <c r="B1143" s="244"/>
      <c r="C1143" s="383"/>
      <c r="D1143" s="383"/>
      <c r="E1143" s="430"/>
      <c r="F1143" s="55"/>
      <c r="G1143" s="55"/>
      <c r="H1143" s="136">
        <f t="shared" si="34"/>
        <v>0</v>
      </c>
      <c r="I1143" s="136">
        <f t="shared" si="35"/>
        <v>0</v>
      </c>
      <c r="J1143" s="73"/>
    </row>
    <row r="1144" spans="1:10" s="5" customFormat="1" hidden="1">
      <c r="A1144" s="1072"/>
      <c r="B1144" s="244"/>
      <c r="C1144" s="383"/>
      <c r="D1144" s="383"/>
      <c r="E1144" s="430"/>
      <c r="F1144" s="55"/>
      <c r="G1144" s="55"/>
      <c r="H1144" s="136">
        <f t="shared" si="34"/>
        <v>0</v>
      </c>
      <c r="I1144" s="136">
        <f t="shared" si="35"/>
        <v>0</v>
      </c>
      <c r="J1144" s="73"/>
    </row>
    <row r="1145" spans="1:10" s="5" customFormat="1" hidden="1">
      <c r="A1145" s="1072"/>
      <c r="B1145" s="244"/>
      <c r="C1145" s="383"/>
      <c r="D1145" s="383"/>
      <c r="E1145" s="430"/>
      <c r="F1145" s="55"/>
      <c r="G1145" s="55"/>
      <c r="H1145" s="136">
        <f t="shared" si="34"/>
        <v>0</v>
      </c>
      <c r="I1145" s="136">
        <f t="shared" si="35"/>
        <v>0</v>
      </c>
      <c r="J1145" s="73"/>
    </row>
    <row r="1146" spans="1:10" s="5" customFormat="1" hidden="1">
      <c r="A1146" s="1072"/>
      <c r="B1146" s="244"/>
      <c r="C1146" s="383"/>
      <c r="D1146" s="383"/>
      <c r="E1146" s="430"/>
      <c r="F1146" s="55"/>
      <c r="G1146" s="55"/>
      <c r="H1146" s="136">
        <f t="shared" si="34"/>
        <v>0</v>
      </c>
      <c r="I1146" s="136">
        <f t="shared" si="35"/>
        <v>0</v>
      </c>
      <c r="J1146" s="73"/>
    </row>
    <row r="1147" spans="1:10" s="5" customFormat="1" hidden="1">
      <c r="A1147" s="1072"/>
      <c r="B1147" s="244"/>
      <c r="C1147" s="383"/>
      <c r="D1147" s="383"/>
      <c r="E1147" s="430"/>
      <c r="F1147" s="55"/>
      <c r="G1147" s="55"/>
      <c r="H1147" s="136">
        <f t="shared" si="34"/>
        <v>0</v>
      </c>
      <c r="I1147" s="136">
        <f t="shared" si="35"/>
        <v>0</v>
      </c>
      <c r="J1147" s="73"/>
    </row>
    <row r="1148" spans="1:10" s="5" customFormat="1" hidden="1">
      <c r="A1148" s="1072"/>
      <c r="B1148" s="244"/>
      <c r="C1148" s="383"/>
      <c r="D1148" s="383"/>
      <c r="E1148" s="430"/>
      <c r="F1148" s="55"/>
      <c r="G1148" s="55"/>
      <c r="H1148" s="136">
        <f t="shared" si="34"/>
        <v>0</v>
      </c>
      <c r="I1148" s="136">
        <f t="shared" si="35"/>
        <v>0</v>
      </c>
      <c r="J1148" s="73"/>
    </row>
    <row r="1149" spans="1:10" s="5" customFormat="1" hidden="1">
      <c r="A1149" s="1072"/>
      <c r="B1149" s="244"/>
      <c r="C1149" s="383"/>
      <c r="D1149" s="383"/>
      <c r="E1149" s="430"/>
      <c r="F1149" s="55"/>
      <c r="G1149" s="55"/>
      <c r="H1149" s="136">
        <f t="shared" si="34"/>
        <v>0</v>
      </c>
      <c r="I1149" s="136">
        <f t="shared" si="35"/>
        <v>0</v>
      </c>
      <c r="J1149" s="73"/>
    </row>
    <row r="1150" spans="1:10" s="5" customFormat="1" hidden="1">
      <c r="A1150" s="1072"/>
      <c r="B1150" s="244"/>
      <c r="C1150" s="383"/>
      <c r="D1150" s="383"/>
      <c r="E1150" s="430"/>
      <c r="F1150" s="55"/>
      <c r="G1150" s="55"/>
      <c r="H1150" s="136">
        <f t="shared" si="34"/>
        <v>0</v>
      </c>
      <c r="I1150" s="136">
        <f t="shared" si="35"/>
        <v>0</v>
      </c>
      <c r="J1150" s="73"/>
    </row>
    <row r="1151" spans="1:10" s="5" customFormat="1" hidden="1">
      <c r="A1151" s="1072"/>
      <c r="B1151" s="244"/>
      <c r="C1151" s="383"/>
      <c r="D1151" s="383"/>
      <c r="E1151" s="430"/>
      <c r="F1151" s="55"/>
      <c r="G1151" s="55"/>
      <c r="H1151" s="136">
        <f t="shared" si="34"/>
        <v>0</v>
      </c>
      <c r="I1151" s="136">
        <f t="shared" si="35"/>
        <v>0</v>
      </c>
      <c r="J1151" s="73"/>
    </row>
    <row r="1152" spans="1:10" s="5" customFormat="1" hidden="1">
      <c r="A1152" s="1072"/>
      <c r="B1152" s="244"/>
      <c r="C1152" s="383"/>
      <c r="D1152" s="383"/>
      <c r="E1152" s="383"/>
      <c r="F1152" s="55"/>
      <c r="G1152" s="55"/>
      <c r="H1152" s="136">
        <f t="shared" si="34"/>
        <v>0</v>
      </c>
      <c r="I1152" s="136">
        <f t="shared" si="35"/>
        <v>0</v>
      </c>
      <c r="J1152" s="73"/>
    </row>
    <row r="1153" spans="1:10" s="5" customFormat="1" hidden="1">
      <c r="A1153" s="1072"/>
      <c r="B1153" s="244"/>
      <c r="C1153" s="383"/>
      <c r="D1153" s="383"/>
      <c r="E1153" s="430"/>
      <c r="F1153" s="55"/>
      <c r="G1153" s="55"/>
      <c r="H1153" s="136">
        <f t="shared" si="34"/>
        <v>0</v>
      </c>
      <c r="I1153" s="136">
        <f t="shared" si="35"/>
        <v>0</v>
      </c>
      <c r="J1153" s="73"/>
    </row>
    <row r="1154" spans="1:10" s="5" customFormat="1" hidden="1">
      <c r="A1154" s="1072"/>
      <c r="B1154" s="244"/>
      <c r="C1154" s="383"/>
      <c r="D1154" s="383"/>
      <c r="E1154" s="430"/>
      <c r="F1154" s="55"/>
      <c r="G1154" s="55"/>
      <c r="H1154" s="136">
        <f t="shared" si="34"/>
        <v>0</v>
      </c>
      <c r="I1154" s="136">
        <f t="shared" si="35"/>
        <v>0</v>
      </c>
      <c r="J1154" s="73"/>
    </row>
    <row r="1155" spans="1:10" s="5" customFormat="1" hidden="1">
      <c r="A1155" s="1072"/>
      <c r="B1155" s="244"/>
      <c r="C1155" s="383"/>
      <c r="D1155" s="383"/>
      <c r="E1155" s="383"/>
      <c r="F1155" s="55"/>
      <c r="G1155" s="55"/>
      <c r="H1155" s="136">
        <f t="shared" si="34"/>
        <v>0</v>
      </c>
      <c r="I1155" s="136">
        <f t="shared" si="35"/>
        <v>0</v>
      </c>
      <c r="J1155" s="73"/>
    </row>
    <row r="1156" spans="1:10" s="5" customFormat="1" hidden="1">
      <c r="A1156" s="1072"/>
      <c r="B1156" s="244"/>
      <c r="C1156" s="383"/>
      <c r="D1156" s="383"/>
      <c r="E1156" s="383"/>
      <c r="F1156" s="55"/>
      <c r="G1156" s="55"/>
      <c r="H1156" s="136">
        <f t="shared" si="34"/>
        <v>0</v>
      </c>
      <c r="I1156" s="136">
        <f t="shared" si="35"/>
        <v>0</v>
      </c>
      <c r="J1156" s="73"/>
    </row>
    <row r="1157" spans="1:10" s="5" customFormat="1" hidden="1">
      <c r="A1157" s="1072"/>
      <c r="B1157" s="244"/>
      <c r="C1157" s="383"/>
      <c r="D1157" s="383"/>
      <c r="E1157" s="430"/>
      <c r="F1157" s="55"/>
      <c r="G1157" s="55"/>
      <c r="H1157" s="136">
        <f t="shared" si="34"/>
        <v>0</v>
      </c>
      <c r="I1157" s="136">
        <f t="shared" si="35"/>
        <v>0</v>
      </c>
      <c r="J1157" s="73"/>
    </row>
    <row r="1158" spans="1:10" s="5" customFormat="1" hidden="1">
      <c r="A1158" s="1072"/>
      <c r="B1158" s="244"/>
      <c r="C1158" s="383"/>
      <c r="D1158" s="383"/>
      <c r="E1158" s="430"/>
      <c r="F1158" s="55"/>
      <c r="G1158" s="55"/>
      <c r="H1158" s="136">
        <f t="shared" si="34"/>
        <v>0</v>
      </c>
      <c r="I1158" s="136">
        <f t="shared" si="35"/>
        <v>0</v>
      </c>
      <c r="J1158" s="73"/>
    </row>
    <row r="1159" spans="1:10" s="5" customFormat="1" hidden="1">
      <c r="A1159" s="1072"/>
      <c r="B1159" s="244"/>
      <c r="C1159" s="383"/>
      <c r="D1159" s="383"/>
      <c r="E1159" s="383"/>
      <c r="F1159" s="55"/>
      <c r="G1159" s="55"/>
      <c r="H1159" s="136">
        <f t="shared" si="34"/>
        <v>0</v>
      </c>
      <c r="I1159" s="136">
        <f t="shared" si="35"/>
        <v>0</v>
      </c>
      <c r="J1159" s="73"/>
    </row>
    <row r="1160" spans="1:10" s="5" customFormat="1" hidden="1">
      <c r="A1160" s="1072"/>
      <c r="B1160" s="244"/>
      <c r="C1160" s="383"/>
      <c r="D1160" s="383"/>
      <c r="E1160" s="383"/>
      <c r="F1160" s="55"/>
      <c r="G1160" s="55"/>
      <c r="H1160" s="136">
        <f t="shared" si="34"/>
        <v>0</v>
      </c>
      <c r="I1160" s="136">
        <f t="shared" si="35"/>
        <v>0</v>
      </c>
      <c r="J1160" s="73"/>
    </row>
    <row r="1161" spans="1:10" s="5" customFormat="1" hidden="1">
      <c r="A1161" s="1072"/>
      <c r="B1161" s="244"/>
      <c r="C1161" s="383"/>
      <c r="D1161" s="383"/>
      <c r="E1161" s="383"/>
      <c r="F1161" s="55"/>
      <c r="G1161" s="55"/>
      <c r="H1161" s="136">
        <f t="shared" ref="H1161:H1224" si="36">E1161+D1161-C1161</f>
        <v>0</v>
      </c>
      <c r="I1161" s="136">
        <f t="shared" ref="I1161:I1224" si="37">SUM(C1161:E1161)</f>
        <v>0</v>
      </c>
      <c r="J1161" s="73"/>
    </row>
    <row r="1162" spans="1:10" s="5" customFormat="1" hidden="1">
      <c r="A1162" s="1072"/>
      <c r="B1162" s="244"/>
      <c r="C1162" s="383"/>
      <c r="D1162" s="383"/>
      <c r="E1162" s="430"/>
      <c r="F1162" s="55"/>
      <c r="G1162" s="55"/>
      <c r="H1162" s="136">
        <f t="shared" si="36"/>
        <v>0</v>
      </c>
      <c r="I1162" s="136">
        <f t="shared" si="37"/>
        <v>0</v>
      </c>
      <c r="J1162" s="73"/>
    </row>
    <row r="1163" spans="1:10" s="5" customFormat="1" hidden="1">
      <c r="A1163" s="1072"/>
      <c r="B1163" s="244"/>
      <c r="C1163" s="430"/>
      <c r="D1163" s="430"/>
      <c r="E1163" s="430"/>
      <c r="F1163" s="55"/>
      <c r="G1163" s="55"/>
      <c r="H1163" s="136">
        <f t="shared" si="36"/>
        <v>0</v>
      </c>
      <c r="I1163" s="136">
        <f t="shared" si="37"/>
        <v>0</v>
      </c>
      <c r="J1163" s="73"/>
    </row>
    <row r="1164" spans="1:10" s="5" customFormat="1" hidden="1">
      <c r="A1164" s="1072"/>
      <c r="B1164" s="244"/>
      <c r="C1164" s="430"/>
      <c r="D1164" s="430"/>
      <c r="E1164" s="430"/>
      <c r="F1164" s="55"/>
      <c r="G1164" s="55"/>
      <c r="H1164" s="136">
        <f t="shared" si="36"/>
        <v>0</v>
      </c>
      <c r="I1164" s="136">
        <f t="shared" si="37"/>
        <v>0</v>
      </c>
      <c r="J1164" s="73"/>
    </row>
    <row r="1165" spans="1:10" s="5" customFormat="1" hidden="1">
      <c r="A1165" s="1072"/>
      <c r="B1165" s="244"/>
      <c r="C1165" s="430"/>
      <c r="D1165" s="430"/>
      <c r="E1165" s="430"/>
      <c r="F1165" s="55"/>
      <c r="G1165" s="55"/>
      <c r="H1165" s="136">
        <f t="shared" si="36"/>
        <v>0</v>
      </c>
      <c r="I1165" s="136">
        <f t="shared" si="37"/>
        <v>0</v>
      </c>
      <c r="J1165" s="73"/>
    </row>
    <row r="1166" spans="1:10" s="5" customFormat="1" hidden="1">
      <c r="A1166" s="1072"/>
      <c r="B1166" s="244"/>
      <c r="C1166" s="430"/>
      <c r="D1166" s="430"/>
      <c r="E1166" s="430"/>
      <c r="F1166" s="55"/>
      <c r="G1166" s="55"/>
      <c r="H1166" s="136">
        <f t="shared" si="36"/>
        <v>0</v>
      </c>
      <c r="I1166" s="136">
        <f t="shared" si="37"/>
        <v>0</v>
      </c>
      <c r="J1166" s="73"/>
    </row>
    <row r="1167" spans="1:10" s="5" customFormat="1" hidden="1">
      <c r="A1167" s="1072"/>
      <c r="B1167" s="244"/>
      <c r="C1167" s="430"/>
      <c r="D1167" s="430"/>
      <c r="E1167" s="430"/>
      <c r="F1167" s="55"/>
      <c r="G1167" s="55"/>
      <c r="H1167" s="136">
        <f t="shared" si="36"/>
        <v>0</v>
      </c>
      <c r="I1167" s="136">
        <f t="shared" si="37"/>
        <v>0</v>
      </c>
      <c r="J1167" s="73"/>
    </row>
    <row r="1168" spans="1:10" s="5" customFormat="1" hidden="1">
      <c r="A1168" s="1072"/>
      <c r="B1168" s="244"/>
      <c r="C1168" s="430"/>
      <c r="D1168" s="430"/>
      <c r="E1168" s="430"/>
      <c r="F1168" s="55"/>
      <c r="G1168" s="55"/>
      <c r="H1168" s="136">
        <f t="shared" si="36"/>
        <v>0</v>
      </c>
      <c r="I1168" s="136">
        <f t="shared" si="37"/>
        <v>0</v>
      </c>
      <c r="J1168" s="73"/>
    </row>
    <row r="1169" spans="1:10" s="5" customFormat="1" hidden="1">
      <c r="A1169" s="1072"/>
      <c r="B1169" s="244"/>
      <c r="C1169" s="434"/>
      <c r="D1169" s="434"/>
      <c r="E1169" s="436"/>
      <c r="F1169" s="55"/>
      <c r="G1169" s="55"/>
      <c r="H1169" s="136">
        <f t="shared" si="36"/>
        <v>0</v>
      </c>
      <c r="I1169" s="136">
        <f t="shared" si="37"/>
        <v>0</v>
      </c>
      <c r="J1169" s="73"/>
    </row>
    <row r="1170" spans="1:10" s="5" customFormat="1" hidden="1">
      <c r="A1170" s="1072"/>
      <c r="B1170" s="244"/>
      <c r="C1170" s="434"/>
      <c r="D1170" s="434"/>
      <c r="E1170" s="436"/>
      <c r="F1170" s="55"/>
      <c r="G1170" s="55"/>
      <c r="H1170" s="136">
        <f t="shared" si="36"/>
        <v>0</v>
      </c>
      <c r="I1170" s="136">
        <f t="shared" si="37"/>
        <v>0</v>
      </c>
      <c r="J1170" s="73"/>
    </row>
    <row r="1171" spans="1:10" s="5" customFormat="1" hidden="1">
      <c r="A1171" s="1072"/>
      <c r="B1171" s="244"/>
      <c r="C1171" s="434"/>
      <c r="D1171" s="434"/>
      <c r="E1171" s="436"/>
      <c r="F1171" s="55"/>
      <c r="G1171" s="55"/>
      <c r="H1171" s="136">
        <f t="shared" si="36"/>
        <v>0</v>
      </c>
      <c r="I1171" s="136">
        <f t="shared" si="37"/>
        <v>0</v>
      </c>
      <c r="J1171" s="73"/>
    </row>
    <row r="1172" spans="1:10" s="5" customFormat="1" hidden="1">
      <c r="A1172" s="1072"/>
      <c r="B1172" s="244"/>
      <c r="C1172" s="434"/>
      <c r="D1172" s="434"/>
      <c r="E1172" s="436"/>
      <c r="F1172" s="55"/>
      <c r="G1172" s="55"/>
      <c r="H1172" s="136">
        <f t="shared" si="36"/>
        <v>0</v>
      </c>
      <c r="I1172" s="136">
        <f t="shared" si="37"/>
        <v>0</v>
      </c>
      <c r="J1172" s="73"/>
    </row>
    <row r="1173" spans="1:10" s="5" customFormat="1" hidden="1">
      <c r="A1173" s="1072"/>
      <c r="B1173" s="244"/>
      <c r="C1173" s="434"/>
      <c r="D1173" s="434"/>
      <c r="E1173" s="436"/>
      <c r="F1173" s="55"/>
      <c r="G1173" s="55"/>
      <c r="H1173" s="136">
        <f t="shared" si="36"/>
        <v>0</v>
      </c>
      <c r="I1173" s="136">
        <f t="shared" si="37"/>
        <v>0</v>
      </c>
      <c r="J1173" s="73"/>
    </row>
    <row r="1174" spans="1:10" s="5" customFormat="1" hidden="1">
      <c r="A1174" s="1072"/>
      <c r="B1174" s="244"/>
      <c r="C1174" s="434"/>
      <c r="D1174" s="434"/>
      <c r="E1174" s="436"/>
      <c r="F1174" s="55"/>
      <c r="G1174" s="55"/>
      <c r="H1174" s="136">
        <f t="shared" si="36"/>
        <v>0</v>
      </c>
      <c r="I1174" s="136">
        <f t="shared" si="37"/>
        <v>0</v>
      </c>
      <c r="J1174" s="73"/>
    </row>
    <row r="1175" spans="1:10" s="5" customFormat="1" hidden="1">
      <c r="A1175" s="1072"/>
      <c r="B1175" s="244"/>
      <c r="C1175" s="434"/>
      <c r="D1175" s="434"/>
      <c r="E1175" s="436"/>
      <c r="F1175" s="55"/>
      <c r="G1175" s="55"/>
      <c r="H1175" s="136">
        <f t="shared" si="36"/>
        <v>0</v>
      </c>
      <c r="I1175" s="136">
        <f t="shared" si="37"/>
        <v>0</v>
      </c>
      <c r="J1175" s="73"/>
    </row>
    <row r="1176" spans="1:10" s="5" customFormat="1" hidden="1">
      <c r="A1176" s="1072"/>
      <c r="B1176" s="244"/>
      <c r="C1176" s="434"/>
      <c r="D1176" s="434"/>
      <c r="E1176" s="436"/>
      <c r="F1176" s="55"/>
      <c r="G1176" s="55"/>
      <c r="H1176" s="136">
        <f t="shared" si="36"/>
        <v>0</v>
      </c>
      <c r="I1176" s="136">
        <f t="shared" si="37"/>
        <v>0</v>
      </c>
      <c r="J1176" s="73"/>
    </row>
    <row r="1177" spans="1:10" s="5" customFormat="1" hidden="1">
      <c r="A1177" s="1072"/>
      <c r="B1177" s="244"/>
      <c r="C1177" s="434"/>
      <c r="D1177" s="434"/>
      <c r="E1177" s="436"/>
      <c r="F1177" s="55"/>
      <c r="G1177" s="55"/>
      <c r="H1177" s="136">
        <f t="shared" si="36"/>
        <v>0</v>
      </c>
      <c r="I1177" s="136">
        <f t="shared" si="37"/>
        <v>0</v>
      </c>
      <c r="J1177" s="73"/>
    </row>
    <row r="1178" spans="1:10" s="5" customFormat="1" hidden="1">
      <c r="A1178" s="1072"/>
      <c r="B1178" s="244"/>
      <c r="C1178" s="434"/>
      <c r="D1178" s="434"/>
      <c r="E1178" s="436"/>
      <c r="F1178" s="55"/>
      <c r="G1178" s="55"/>
      <c r="H1178" s="136">
        <f t="shared" si="36"/>
        <v>0</v>
      </c>
      <c r="I1178" s="136">
        <f t="shared" si="37"/>
        <v>0</v>
      </c>
      <c r="J1178" s="73"/>
    </row>
    <row r="1179" spans="1:10" s="5" customFormat="1" hidden="1">
      <c r="A1179" s="1072"/>
      <c r="B1179" s="244"/>
      <c r="C1179" s="434"/>
      <c r="D1179" s="434"/>
      <c r="E1179" s="436"/>
      <c r="F1179" s="55"/>
      <c r="G1179" s="55"/>
      <c r="H1179" s="136">
        <f t="shared" si="36"/>
        <v>0</v>
      </c>
      <c r="I1179" s="136">
        <f t="shared" si="37"/>
        <v>0</v>
      </c>
      <c r="J1179" s="73"/>
    </row>
    <row r="1180" spans="1:10" s="5" customFormat="1" hidden="1">
      <c r="A1180" s="1072"/>
      <c r="B1180" s="244"/>
      <c r="C1180" s="434"/>
      <c r="D1180" s="434"/>
      <c r="E1180" s="436"/>
      <c r="F1180" s="55"/>
      <c r="G1180" s="55"/>
      <c r="H1180" s="136">
        <f t="shared" si="36"/>
        <v>0</v>
      </c>
      <c r="I1180" s="136">
        <f t="shared" si="37"/>
        <v>0</v>
      </c>
      <c r="J1180" s="73"/>
    </row>
    <row r="1181" spans="1:10" s="5" customFormat="1" hidden="1">
      <c r="A1181" s="1072"/>
      <c r="B1181" s="244"/>
      <c r="C1181" s="434"/>
      <c r="D1181" s="434"/>
      <c r="E1181" s="436"/>
      <c r="F1181" s="55"/>
      <c r="G1181" s="55"/>
      <c r="H1181" s="136">
        <f t="shared" si="36"/>
        <v>0</v>
      </c>
      <c r="I1181" s="136">
        <f t="shared" si="37"/>
        <v>0</v>
      </c>
      <c r="J1181" s="73"/>
    </row>
    <row r="1182" spans="1:10" s="5" customFormat="1" hidden="1">
      <c r="A1182" s="1072"/>
      <c r="B1182" s="244"/>
      <c r="C1182" s="434"/>
      <c r="D1182" s="434"/>
      <c r="E1182" s="436"/>
      <c r="F1182" s="55"/>
      <c r="G1182" s="55"/>
      <c r="H1182" s="136">
        <f t="shared" si="36"/>
        <v>0</v>
      </c>
      <c r="I1182" s="136">
        <f t="shared" si="37"/>
        <v>0</v>
      </c>
      <c r="J1182" s="73"/>
    </row>
    <row r="1183" spans="1:10" s="5" customFormat="1" hidden="1">
      <c r="A1183" s="1072"/>
      <c r="B1183" s="244"/>
      <c r="C1183" s="434"/>
      <c r="D1183" s="434"/>
      <c r="E1183" s="436"/>
      <c r="F1183" s="55"/>
      <c r="G1183" s="55"/>
      <c r="H1183" s="136">
        <f t="shared" si="36"/>
        <v>0</v>
      </c>
      <c r="I1183" s="136">
        <f t="shared" si="37"/>
        <v>0</v>
      </c>
      <c r="J1183" s="73"/>
    </row>
    <row r="1184" spans="1:10" s="5" customFormat="1" hidden="1">
      <c r="A1184" s="1072"/>
      <c r="B1184" s="244"/>
      <c r="C1184" s="434"/>
      <c r="D1184" s="434"/>
      <c r="E1184" s="436"/>
      <c r="F1184" s="55"/>
      <c r="G1184" s="55"/>
      <c r="H1184" s="136">
        <f t="shared" si="36"/>
        <v>0</v>
      </c>
      <c r="I1184" s="136">
        <f t="shared" si="37"/>
        <v>0</v>
      </c>
      <c r="J1184" s="73"/>
    </row>
    <row r="1185" spans="1:10" s="5" customFormat="1" hidden="1">
      <c r="A1185" s="1072"/>
      <c r="B1185" s="244"/>
      <c r="C1185" s="434"/>
      <c r="D1185" s="434"/>
      <c r="E1185" s="436"/>
      <c r="F1185" s="55"/>
      <c r="G1185" s="55"/>
      <c r="H1185" s="136">
        <f t="shared" si="36"/>
        <v>0</v>
      </c>
      <c r="I1185" s="136">
        <f t="shared" si="37"/>
        <v>0</v>
      </c>
      <c r="J1185" s="73"/>
    </row>
    <row r="1186" spans="1:10" s="5" customFormat="1" hidden="1">
      <c r="A1186" s="1072"/>
      <c r="B1186" s="244"/>
      <c r="C1186" s="434"/>
      <c r="D1186" s="434"/>
      <c r="E1186" s="436"/>
      <c r="F1186" s="55"/>
      <c r="G1186" s="55"/>
      <c r="H1186" s="136">
        <f t="shared" si="36"/>
        <v>0</v>
      </c>
      <c r="I1186" s="136">
        <f t="shared" si="37"/>
        <v>0</v>
      </c>
      <c r="J1186" s="73"/>
    </row>
    <row r="1187" spans="1:10" s="5" customFormat="1" hidden="1">
      <c r="A1187" s="1072"/>
      <c r="B1187" s="244"/>
      <c r="C1187" s="434"/>
      <c r="D1187" s="434"/>
      <c r="E1187" s="436"/>
      <c r="F1187" s="55"/>
      <c r="G1187" s="55"/>
      <c r="H1187" s="136">
        <f t="shared" si="36"/>
        <v>0</v>
      </c>
      <c r="I1187" s="136">
        <f t="shared" si="37"/>
        <v>0</v>
      </c>
      <c r="J1187" s="73"/>
    </row>
    <row r="1188" spans="1:10" s="5" customFormat="1" hidden="1">
      <c r="A1188" s="1072"/>
      <c r="B1188" s="244"/>
      <c r="C1188" s="434"/>
      <c r="D1188" s="434"/>
      <c r="E1188" s="436"/>
      <c r="F1188" s="55"/>
      <c r="G1188" s="55"/>
      <c r="H1188" s="136">
        <f t="shared" si="36"/>
        <v>0</v>
      </c>
      <c r="I1188" s="136">
        <f t="shared" si="37"/>
        <v>0</v>
      </c>
      <c r="J1188" s="73"/>
    </row>
    <row r="1189" spans="1:10" s="5" customFormat="1" hidden="1">
      <c r="A1189" s="1072"/>
      <c r="B1189" s="244"/>
      <c r="C1189" s="434"/>
      <c r="D1189" s="434"/>
      <c r="E1189" s="436"/>
      <c r="F1189" s="55"/>
      <c r="G1189" s="55"/>
      <c r="H1189" s="136">
        <f t="shared" si="36"/>
        <v>0</v>
      </c>
      <c r="I1189" s="136">
        <f t="shared" si="37"/>
        <v>0</v>
      </c>
      <c r="J1189" s="73"/>
    </row>
    <row r="1190" spans="1:10" s="5" customFormat="1" hidden="1">
      <c r="A1190" s="1072"/>
      <c r="B1190" s="244"/>
      <c r="C1190" s="434"/>
      <c r="D1190" s="434"/>
      <c r="E1190" s="436"/>
      <c r="F1190" s="55"/>
      <c r="G1190" s="55"/>
      <c r="H1190" s="136">
        <f t="shared" si="36"/>
        <v>0</v>
      </c>
      <c r="I1190" s="136">
        <f t="shared" si="37"/>
        <v>0</v>
      </c>
      <c r="J1190" s="73"/>
    </row>
    <row r="1191" spans="1:10" s="5" customFormat="1" hidden="1">
      <c r="A1191" s="1072"/>
      <c r="B1191" s="244"/>
      <c r="C1191" s="434"/>
      <c r="D1191" s="434"/>
      <c r="E1191" s="436"/>
      <c r="F1191" s="55"/>
      <c r="G1191" s="55"/>
      <c r="H1191" s="136">
        <f t="shared" si="36"/>
        <v>0</v>
      </c>
      <c r="I1191" s="136">
        <f t="shared" si="37"/>
        <v>0</v>
      </c>
      <c r="J1191" s="73"/>
    </row>
    <row r="1192" spans="1:10" s="5" customFormat="1" hidden="1">
      <c r="A1192" s="1072"/>
      <c r="B1192" s="244"/>
      <c r="C1192" s="434"/>
      <c r="D1192" s="434"/>
      <c r="E1192" s="436"/>
      <c r="F1192" s="55"/>
      <c r="G1192" s="55"/>
      <c r="H1192" s="136">
        <f t="shared" si="36"/>
        <v>0</v>
      </c>
      <c r="I1192" s="136">
        <f t="shared" si="37"/>
        <v>0</v>
      </c>
      <c r="J1192" s="73"/>
    </row>
    <row r="1193" spans="1:10" s="5" customFormat="1" hidden="1">
      <c r="A1193" s="1072"/>
      <c r="B1193" s="244"/>
      <c r="C1193" s="434"/>
      <c r="D1193" s="434"/>
      <c r="E1193" s="436"/>
      <c r="F1193" s="55"/>
      <c r="G1193" s="55"/>
      <c r="H1193" s="136">
        <f t="shared" si="36"/>
        <v>0</v>
      </c>
      <c r="I1193" s="136">
        <f t="shared" si="37"/>
        <v>0</v>
      </c>
      <c r="J1193" s="73"/>
    </row>
    <row r="1194" spans="1:10" s="5" customFormat="1" hidden="1">
      <c r="A1194" s="1072"/>
      <c r="B1194" s="244"/>
      <c r="C1194" s="434"/>
      <c r="D1194" s="434"/>
      <c r="E1194" s="436"/>
      <c r="F1194" s="55"/>
      <c r="G1194" s="55"/>
      <c r="H1194" s="136">
        <f t="shared" si="36"/>
        <v>0</v>
      </c>
      <c r="I1194" s="136">
        <f t="shared" si="37"/>
        <v>0</v>
      </c>
      <c r="J1194" s="73"/>
    </row>
    <row r="1195" spans="1:10" s="5" customFormat="1" hidden="1">
      <c r="A1195" s="1072"/>
      <c r="B1195" s="244"/>
      <c r="C1195" s="434"/>
      <c r="D1195" s="434"/>
      <c r="E1195" s="436"/>
      <c r="F1195" s="55"/>
      <c r="G1195" s="55"/>
      <c r="H1195" s="136">
        <f t="shared" si="36"/>
        <v>0</v>
      </c>
      <c r="I1195" s="136">
        <f t="shared" si="37"/>
        <v>0</v>
      </c>
      <c r="J1195" s="73"/>
    </row>
    <row r="1196" spans="1:10" s="5" customFormat="1" hidden="1">
      <c r="A1196" s="1072"/>
      <c r="B1196" s="244"/>
      <c r="C1196" s="434"/>
      <c r="D1196" s="434"/>
      <c r="E1196" s="436"/>
      <c r="F1196" s="55"/>
      <c r="G1196" s="55"/>
      <c r="H1196" s="136">
        <f t="shared" si="36"/>
        <v>0</v>
      </c>
      <c r="I1196" s="136">
        <f t="shared" si="37"/>
        <v>0</v>
      </c>
      <c r="J1196" s="73"/>
    </row>
    <row r="1197" spans="1:10" s="5" customFormat="1" hidden="1">
      <c r="A1197" s="1072"/>
      <c r="B1197" s="244"/>
      <c r="C1197" s="434"/>
      <c r="D1197" s="434"/>
      <c r="E1197" s="436"/>
      <c r="F1197" s="55"/>
      <c r="G1197" s="55"/>
      <c r="H1197" s="136">
        <f t="shared" si="36"/>
        <v>0</v>
      </c>
      <c r="I1197" s="136">
        <f t="shared" si="37"/>
        <v>0</v>
      </c>
      <c r="J1197" s="73"/>
    </row>
    <row r="1198" spans="1:10" s="5" customFormat="1" hidden="1">
      <c r="A1198" s="1072"/>
      <c r="B1198" s="244"/>
      <c r="C1198" s="434"/>
      <c r="D1198" s="434"/>
      <c r="E1198" s="436"/>
      <c r="F1198" s="55"/>
      <c r="G1198" s="55"/>
      <c r="H1198" s="136">
        <f t="shared" si="36"/>
        <v>0</v>
      </c>
      <c r="I1198" s="136">
        <f t="shared" si="37"/>
        <v>0</v>
      </c>
      <c r="J1198" s="73"/>
    </row>
    <row r="1199" spans="1:10" s="5" customFormat="1" hidden="1">
      <c r="A1199" s="1072"/>
      <c r="B1199" s="244"/>
      <c r="C1199" s="434"/>
      <c r="D1199" s="434"/>
      <c r="E1199" s="436"/>
      <c r="F1199" s="55"/>
      <c r="G1199" s="55"/>
      <c r="H1199" s="136">
        <f t="shared" si="36"/>
        <v>0</v>
      </c>
      <c r="I1199" s="136">
        <f t="shared" si="37"/>
        <v>0</v>
      </c>
      <c r="J1199" s="73"/>
    </row>
    <row r="1200" spans="1:10" s="5" customFormat="1" hidden="1">
      <c r="A1200" s="1072"/>
      <c r="B1200" s="244"/>
      <c r="C1200" s="434"/>
      <c r="D1200" s="434"/>
      <c r="E1200" s="436"/>
      <c r="F1200" s="55"/>
      <c r="G1200" s="55"/>
      <c r="H1200" s="136">
        <f t="shared" si="36"/>
        <v>0</v>
      </c>
      <c r="I1200" s="136">
        <f t="shared" si="37"/>
        <v>0</v>
      </c>
      <c r="J1200" s="73"/>
    </row>
    <row r="1201" spans="1:10" s="5" customFormat="1" hidden="1">
      <c r="A1201" s="1072"/>
      <c r="B1201" s="244"/>
      <c r="C1201" s="434"/>
      <c r="D1201" s="434"/>
      <c r="E1201" s="436"/>
      <c r="F1201" s="55"/>
      <c r="G1201" s="55"/>
      <c r="H1201" s="136">
        <f t="shared" si="36"/>
        <v>0</v>
      </c>
      <c r="I1201" s="136">
        <f t="shared" si="37"/>
        <v>0</v>
      </c>
      <c r="J1201" s="73"/>
    </row>
    <row r="1202" spans="1:10" s="5" customFormat="1" hidden="1">
      <c r="A1202" s="1072"/>
      <c r="B1202" s="244"/>
      <c r="C1202" s="434"/>
      <c r="D1202" s="434"/>
      <c r="E1202" s="436"/>
      <c r="F1202" s="55"/>
      <c r="G1202" s="55"/>
      <c r="H1202" s="136">
        <f t="shared" si="36"/>
        <v>0</v>
      </c>
      <c r="I1202" s="136">
        <f t="shared" si="37"/>
        <v>0</v>
      </c>
      <c r="J1202" s="73"/>
    </row>
    <row r="1203" spans="1:10" s="5" customFormat="1" hidden="1">
      <c r="A1203" s="1072"/>
      <c r="B1203" s="244"/>
      <c r="C1203" s="434"/>
      <c r="D1203" s="434"/>
      <c r="E1203" s="436"/>
      <c r="F1203" s="55"/>
      <c r="G1203" s="55"/>
      <c r="H1203" s="136">
        <f t="shared" si="36"/>
        <v>0</v>
      </c>
      <c r="I1203" s="136">
        <f t="shared" si="37"/>
        <v>0</v>
      </c>
      <c r="J1203" s="73"/>
    </row>
    <row r="1204" spans="1:10" s="5" customFormat="1" hidden="1">
      <c r="A1204" s="1072"/>
      <c r="B1204" s="244"/>
      <c r="C1204" s="434"/>
      <c r="D1204" s="434"/>
      <c r="E1204" s="436"/>
      <c r="F1204" s="55"/>
      <c r="G1204" s="55"/>
      <c r="H1204" s="136">
        <f t="shared" si="36"/>
        <v>0</v>
      </c>
      <c r="I1204" s="136">
        <f t="shared" si="37"/>
        <v>0</v>
      </c>
      <c r="J1204" s="73"/>
    </row>
    <row r="1205" spans="1:10" s="5" customFormat="1" hidden="1">
      <c r="A1205" s="1072"/>
      <c r="B1205" s="244"/>
      <c r="C1205" s="434"/>
      <c r="D1205" s="434"/>
      <c r="E1205" s="436"/>
      <c r="F1205" s="55"/>
      <c r="G1205" s="55"/>
      <c r="H1205" s="136">
        <f t="shared" si="36"/>
        <v>0</v>
      </c>
      <c r="I1205" s="136">
        <f t="shared" si="37"/>
        <v>0</v>
      </c>
      <c r="J1205" s="73"/>
    </row>
    <row r="1206" spans="1:10" s="5" customFormat="1" hidden="1">
      <c r="A1206" s="1072"/>
      <c r="B1206" s="244"/>
      <c r="C1206" s="434"/>
      <c r="D1206" s="434"/>
      <c r="E1206" s="436"/>
      <c r="F1206" s="55"/>
      <c r="G1206" s="55"/>
      <c r="H1206" s="136">
        <f t="shared" si="36"/>
        <v>0</v>
      </c>
      <c r="I1206" s="136">
        <f t="shared" si="37"/>
        <v>0</v>
      </c>
      <c r="J1206" s="73"/>
    </row>
    <row r="1207" spans="1:10" s="5" customFormat="1" hidden="1">
      <c r="A1207" s="1072"/>
      <c r="B1207" s="244"/>
      <c r="C1207" s="434"/>
      <c r="D1207" s="434"/>
      <c r="E1207" s="436"/>
      <c r="F1207" s="55"/>
      <c r="G1207" s="55"/>
      <c r="H1207" s="136">
        <f t="shared" si="36"/>
        <v>0</v>
      </c>
      <c r="I1207" s="136">
        <f t="shared" si="37"/>
        <v>0</v>
      </c>
      <c r="J1207" s="73"/>
    </row>
    <row r="1208" spans="1:10" s="5" customFormat="1" hidden="1">
      <c r="A1208" s="1072"/>
      <c r="B1208" s="244"/>
      <c r="C1208" s="434"/>
      <c r="D1208" s="434"/>
      <c r="E1208" s="436"/>
      <c r="F1208" s="55"/>
      <c r="G1208" s="55"/>
      <c r="H1208" s="136">
        <f t="shared" si="36"/>
        <v>0</v>
      </c>
      <c r="I1208" s="136">
        <f t="shared" si="37"/>
        <v>0</v>
      </c>
      <c r="J1208" s="73"/>
    </row>
    <row r="1209" spans="1:10" s="5" customFormat="1" hidden="1">
      <c r="A1209" s="1072"/>
      <c r="B1209" s="244"/>
      <c r="C1209" s="434"/>
      <c r="D1209" s="434"/>
      <c r="E1209" s="436"/>
      <c r="F1209" s="55"/>
      <c r="G1209" s="55"/>
      <c r="H1209" s="136">
        <f t="shared" si="36"/>
        <v>0</v>
      </c>
      <c r="I1209" s="136">
        <f t="shared" si="37"/>
        <v>0</v>
      </c>
      <c r="J1209" s="73"/>
    </row>
    <row r="1210" spans="1:10" s="5" customFormat="1" hidden="1">
      <c r="A1210" s="1072"/>
      <c r="B1210" s="244"/>
      <c r="C1210" s="434"/>
      <c r="D1210" s="434"/>
      <c r="E1210" s="436"/>
      <c r="F1210" s="55"/>
      <c r="G1210" s="55"/>
      <c r="H1210" s="136">
        <f t="shared" si="36"/>
        <v>0</v>
      </c>
      <c r="I1210" s="136">
        <f t="shared" si="37"/>
        <v>0</v>
      </c>
      <c r="J1210" s="73"/>
    </row>
    <row r="1211" spans="1:10" s="5" customFormat="1" hidden="1">
      <c r="A1211" s="1072"/>
      <c r="B1211" s="244"/>
      <c r="C1211" s="434"/>
      <c r="D1211" s="434"/>
      <c r="E1211" s="436"/>
      <c r="F1211" s="55"/>
      <c r="G1211" s="55"/>
      <c r="H1211" s="136">
        <f t="shared" si="36"/>
        <v>0</v>
      </c>
      <c r="I1211" s="136">
        <f t="shared" si="37"/>
        <v>0</v>
      </c>
      <c r="J1211" s="73"/>
    </row>
    <row r="1212" spans="1:10" s="5" customFormat="1" hidden="1">
      <c r="A1212" s="1072"/>
      <c r="B1212" s="244"/>
      <c r="C1212" s="434"/>
      <c r="D1212" s="434"/>
      <c r="E1212" s="436"/>
      <c r="F1212" s="55"/>
      <c r="G1212" s="55"/>
      <c r="H1212" s="136">
        <f t="shared" si="36"/>
        <v>0</v>
      </c>
      <c r="I1212" s="136">
        <f t="shared" si="37"/>
        <v>0</v>
      </c>
      <c r="J1212" s="73"/>
    </row>
    <row r="1213" spans="1:10" s="5" customFormat="1" hidden="1">
      <c r="A1213" s="1072"/>
      <c r="B1213" s="244"/>
      <c r="C1213" s="434"/>
      <c r="D1213" s="434"/>
      <c r="E1213" s="436"/>
      <c r="F1213" s="55"/>
      <c r="G1213" s="55"/>
      <c r="H1213" s="136">
        <f t="shared" si="36"/>
        <v>0</v>
      </c>
      <c r="I1213" s="136">
        <f t="shared" si="37"/>
        <v>0</v>
      </c>
      <c r="J1213" s="73"/>
    </row>
    <row r="1214" spans="1:10" s="5" customFormat="1" hidden="1">
      <c r="A1214" s="1072"/>
      <c r="B1214" s="244"/>
      <c r="C1214" s="383"/>
      <c r="D1214" s="383"/>
      <c r="E1214" s="383"/>
      <c r="F1214" s="55"/>
      <c r="G1214" s="55"/>
      <c r="H1214" s="136">
        <f t="shared" si="36"/>
        <v>0</v>
      </c>
      <c r="I1214" s="136">
        <f t="shared" si="37"/>
        <v>0</v>
      </c>
      <c r="J1214" s="73"/>
    </row>
    <row r="1215" spans="1:10">
      <c r="A1215" s="1073"/>
      <c r="B1215" s="461" t="s">
        <v>253</v>
      </c>
      <c r="C1215" s="462">
        <f>SUM(C1137:C1214)</f>
        <v>46090</v>
      </c>
      <c r="D1215" s="462">
        <f>SUM(D1137:D1214)</f>
        <v>0</v>
      </c>
      <c r="E1215" s="462">
        <f>SUM(E1137:E1214)</f>
        <v>46090</v>
      </c>
      <c r="F1215" s="75">
        <f>SUM(F1137:F1159)</f>
        <v>0</v>
      </c>
      <c r="G1215" s="75">
        <f>SUM(G1137:G1159)</f>
        <v>0</v>
      </c>
      <c r="H1215" s="459">
        <f t="shared" si="36"/>
        <v>0</v>
      </c>
      <c r="I1215" s="459">
        <f t="shared" si="37"/>
        <v>92180</v>
      </c>
      <c r="J1215" s="460"/>
    </row>
    <row r="1216" spans="1:10" ht="93.75">
      <c r="A1216" s="1068" t="s">
        <v>457</v>
      </c>
      <c r="B1216" s="310" t="s">
        <v>1819</v>
      </c>
      <c r="C1216" s="452">
        <v>29000</v>
      </c>
      <c r="D1216" s="452"/>
      <c r="E1216" s="452">
        <v>29000</v>
      </c>
      <c r="F1216" s="138"/>
      <c r="G1216" s="138"/>
      <c r="H1216" s="459">
        <f t="shared" si="36"/>
        <v>0</v>
      </c>
      <c r="I1216" s="459">
        <f t="shared" si="37"/>
        <v>58000</v>
      </c>
      <c r="J1216" s="460"/>
    </row>
    <row r="1217" spans="1:10" s="5" customFormat="1" ht="75" hidden="1">
      <c r="A1217" s="1069"/>
      <c r="B1217" s="244" t="s">
        <v>1064</v>
      </c>
      <c r="C1217" s="383">
        <f>790354-790354</f>
        <v>0</v>
      </c>
      <c r="D1217" s="383"/>
      <c r="E1217" s="383">
        <f>790354-790354</f>
        <v>0</v>
      </c>
      <c r="F1217" s="138"/>
      <c r="G1217" s="138"/>
      <c r="H1217" s="136">
        <f t="shared" si="36"/>
        <v>0</v>
      </c>
      <c r="I1217" s="136">
        <f t="shared" si="37"/>
        <v>0</v>
      </c>
      <c r="J1217" s="73"/>
    </row>
    <row r="1218" spans="1:10" ht="131.25">
      <c r="A1218" s="1068"/>
      <c r="B1218" s="310" t="s">
        <v>1681</v>
      </c>
      <c r="C1218" s="456">
        <v>19720</v>
      </c>
      <c r="D1218" s="456"/>
      <c r="E1218" s="456">
        <v>19720</v>
      </c>
      <c r="F1218" s="138"/>
      <c r="G1218" s="138"/>
      <c r="H1218" s="459">
        <f t="shared" si="36"/>
        <v>0</v>
      </c>
      <c r="I1218" s="459">
        <f t="shared" si="37"/>
        <v>39440</v>
      </c>
      <c r="J1218" s="460"/>
    </row>
    <row r="1219" spans="1:10" s="5" customFormat="1" hidden="1">
      <c r="A1219" s="1069"/>
      <c r="B1219" s="244"/>
      <c r="C1219" s="430"/>
      <c r="D1219" s="430"/>
      <c r="E1219" s="430"/>
      <c r="F1219" s="138"/>
      <c r="G1219" s="138"/>
      <c r="H1219" s="136">
        <f t="shared" si="36"/>
        <v>0</v>
      </c>
      <c r="I1219" s="136">
        <f t="shared" si="37"/>
        <v>0</v>
      </c>
      <c r="J1219" s="73"/>
    </row>
    <row r="1220" spans="1:10" s="5" customFormat="1" hidden="1">
      <c r="A1220" s="1069"/>
      <c r="B1220" s="244"/>
      <c r="C1220" s="430"/>
      <c r="D1220" s="430"/>
      <c r="E1220" s="430"/>
      <c r="F1220" s="138"/>
      <c r="G1220" s="138"/>
      <c r="H1220" s="136">
        <f t="shared" si="36"/>
        <v>0</v>
      </c>
      <c r="I1220" s="136">
        <f t="shared" si="37"/>
        <v>0</v>
      </c>
      <c r="J1220" s="73"/>
    </row>
    <row r="1221" spans="1:10" s="5" customFormat="1" hidden="1">
      <c r="A1221" s="1069"/>
      <c r="B1221" s="244"/>
      <c r="C1221" s="383"/>
      <c r="D1221" s="383"/>
      <c r="E1221" s="430"/>
      <c r="F1221" s="138"/>
      <c r="G1221" s="138"/>
      <c r="H1221" s="136">
        <f t="shared" si="36"/>
        <v>0</v>
      </c>
      <c r="I1221" s="136">
        <f t="shared" si="37"/>
        <v>0</v>
      </c>
      <c r="J1221" s="73"/>
    </row>
    <row r="1222" spans="1:10" s="5" customFormat="1" hidden="1">
      <c r="A1222" s="1069"/>
      <c r="B1222" s="244"/>
      <c r="C1222" s="383"/>
      <c r="D1222" s="383"/>
      <c r="E1222" s="430"/>
      <c r="F1222" s="138"/>
      <c r="G1222" s="138"/>
      <c r="H1222" s="136">
        <f t="shared" si="36"/>
        <v>0</v>
      </c>
      <c r="I1222" s="136">
        <f t="shared" si="37"/>
        <v>0</v>
      </c>
      <c r="J1222" s="73"/>
    </row>
    <row r="1223" spans="1:10" s="5" customFormat="1" hidden="1">
      <c r="A1223" s="1069"/>
      <c r="B1223" s="244"/>
      <c r="C1223" s="383"/>
      <c r="D1223" s="383"/>
      <c r="E1223" s="430"/>
      <c r="F1223" s="138"/>
      <c r="G1223" s="138"/>
      <c r="H1223" s="136">
        <f t="shared" si="36"/>
        <v>0</v>
      </c>
      <c r="I1223" s="136">
        <f t="shared" si="37"/>
        <v>0</v>
      </c>
      <c r="J1223" s="73"/>
    </row>
    <row r="1224" spans="1:10" s="5" customFormat="1" hidden="1">
      <c r="A1224" s="1069"/>
      <c r="B1224" s="244"/>
      <c r="C1224" s="383"/>
      <c r="D1224" s="383"/>
      <c r="E1224" s="430"/>
      <c r="F1224" s="138"/>
      <c r="G1224" s="138"/>
      <c r="H1224" s="136">
        <f t="shared" si="36"/>
        <v>0</v>
      </c>
      <c r="I1224" s="136">
        <f t="shared" si="37"/>
        <v>0</v>
      </c>
      <c r="J1224" s="73"/>
    </row>
    <row r="1225" spans="1:10" s="5" customFormat="1" hidden="1">
      <c r="A1225" s="1069"/>
      <c r="B1225" s="244"/>
      <c r="C1225" s="383"/>
      <c r="D1225" s="383"/>
      <c r="E1225" s="430"/>
      <c r="F1225" s="138"/>
      <c r="G1225" s="138"/>
      <c r="H1225" s="136">
        <f t="shared" ref="H1225:H1288" si="38">E1225+D1225-C1225</f>
        <v>0</v>
      </c>
      <c r="I1225" s="136">
        <f t="shared" ref="I1225:I1288" si="39">SUM(C1225:E1225)</f>
        <v>0</v>
      </c>
      <c r="J1225" s="73"/>
    </row>
    <row r="1226" spans="1:10" s="5" customFormat="1" hidden="1">
      <c r="A1226" s="1069"/>
      <c r="B1226" s="244"/>
      <c r="C1226" s="383"/>
      <c r="D1226" s="383"/>
      <c r="E1226" s="430"/>
      <c r="F1226" s="138"/>
      <c r="G1226" s="138"/>
      <c r="H1226" s="136">
        <f t="shared" si="38"/>
        <v>0</v>
      </c>
      <c r="I1226" s="136">
        <f t="shared" si="39"/>
        <v>0</v>
      </c>
      <c r="J1226" s="73"/>
    </row>
    <row r="1227" spans="1:10" s="5" customFormat="1" hidden="1">
      <c r="A1227" s="1069"/>
      <c r="B1227" s="244"/>
      <c r="C1227" s="383"/>
      <c r="D1227" s="383"/>
      <c r="E1227" s="430"/>
      <c r="F1227" s="138"/>
      <c r="G1227" s="138"/>
      <c r="H1227" s="136">
        <f t="shared" si="38"/>
        <v>0</v>
      </c>
      <c r="I1227" s="136">
        <f t="shared" si="39"/>
        <v>0</v>
      </c>
      <c r="J1227" s="73"/>
    </row>
    <row r="1228" spans="1:10" s="5" customFormat="1" hidden="1">
      <c r="A1228" s="1069"/>
      <c r="B1228" s="244"/>
      <c r="C1228" s="383"/>
      <c r="D1228" s="383"/>
      <c r="E1228" s="430"/>
      <c r="F1228" s="138"/>
      <c r="G1228" s="138"/>
      <c r="H1228" s="136">
        <f t="shared" si="38"/>
        <v>0</v>
      </c>
      <c r="I1228" s="136">
        <f t="shared" si="39"/>
        <v>0</v>
      </c>
      <c r="J1228" s="73"/>
    </row>
    <row r="1229" spans="1:10" s="5" customFormat="1" hidden="1">
      <c r="A1229" s="1069"/>
      <c r="B1229" s="244"/>
      <c r="C1229" s="383"/>
      <c r="D1229" s="383"/>
      <c r="E1229" s="430"/>
      <c r="F1229" s="138"/>
      <c r="G1229" s="138"/>
      <c r="H1229" s="136">
        <f t="shared" si="38"/>
        <v>0</v>
      </c>
      <c r="I1229" s="136">
        <f t="shared" si="39"/>
        <v>0</v>
      </c>
      <c r="J1229" s="73"/>
    </row>
    <row r="1230" spans="1:10" s="5" customFormat="1" hidden="1">
      <c r="A1230" s="1069"/>
      <c r="B1230" s="244"/>
      <c r="C1230" s="383"/>
      <c r="D1230" s="383"/>
      <c r="E1230" s="430"/>
      <c r="F1230" s="138"/>
      <c r="G1230" s="138"/>
      <c r="H1230" s="136">
        <f t="shared" si="38"/>
        <v>0</v>
      </c>
      <c r="I1230" s="136">
        <f t="shared" si="39"/>
        <v>0</v>
      </c>
      <c r="J1230" s="73"/>
    </row>
    <row r="1231" spans="1:10" s="5" customFormat="1" hidden="1">
      <c r="A1231" s="1069"/>
      <c r="B1231" s="244"/>
      <c r="C1231" s="383"/>
      <c r="D1231" s="383"/>
      <c r="E1231" s="430"/>
      <c r="F1231" s="138"/>
      <c r="G1231" s="138"/>
      <c r="H1231" s="136">
        <f t="shared" si="38"/>
        <v>0</v>
      </c>
      <c r="I1231" s="136">
        <f t="shared" si="39"/>
        <v>0</v>
      </c>
      <c r="J1231" s="73"/>
    </row>
    <row r="1232" spans="1:10" s="5" customFormat="1" hidden="1">
      <c r="A1232" s="1069"/>
      <c r="B1232" s="244"/>
      <c r="C1232" s="383"/>
      <c r="D1232" s="383"/>
      <c r="E1232" s="430"/>
      <c r="F1232" s="138"/>
      <c r="G1232" s="138"/>
      <c r="H1232" s="136">
        <f t="shared" si="38"/>
        <v>0</v>
      </c>
      <c r="I1232" s="136">
        <f t="shared" si="39"/>
        <v>0</v>
      </c>
      <c r="J1232" s="73"/>
    </row>
    <row r="1233" spans="1:10" s="5" customFormat="1" hidden="1">
      <c r="A1233" s="1069"/>
      <c r="B1233" s="244"/>
      <c r="C1233" s="383"/>
      <c r="D1233" s="383"/>
      <c r="E1233" s="383"/>
      <c r="F1233" s="138"/>
      <c r="G1233" s="138"/>
      <c r="H1233" s="136">
        <f t="shared" si="38"/>
        <v>0</v>
      </c>
      <c r="I1233" s="136">
        <f t="shared" si="39"/>
        <v>0</v>
      </c>
      <c r="J1233" s="73"/>
    </row>
    <row r="1234" spans="1:10" s="5" customFormat="1" hidden="1">
      <c r="A1234" s="1069"/>
      <c r="B1234" s="244"/>
      <c r="C1234" s="383"/>
      <c r="D1234" s="383"/>
      <c r="E1234" s="383"/>
      <c r="F1234" s="138"/>
      <c r="G1234" s="138"/>
      <c r="H1234" s="136">
        <f t="shared" si="38"/>
        <v>0</v>
      </c>
      <c r="I1234" s="136">
        <f t="shared" si="39"/>
        <v>0</v>
      </c>
      <c r="J1234" s="73"/>
    </row>
    <row r="1235" spans="1:10" s="5" customFormat="1" hidden="1">
      <c r="A1235" s="1069"/>
      <c r="B1235" s="244"/>
      <c r="C1235" s="383"/>
      <c r="D1235" s="383"/>
      <c r="E1235" s="383"/>
      <c r="F1235" s="138"/>
      <c r="G1235" s="138"/>
      <c r="H1235" s="136">
        <f t="shared" si="38"/>
        <v>0</v>
      </c>
      <c r="I1235" s="136">
        <f t="shared" si="39"/>
        <v>0</v>
      </c>
      <c r="J1235" s="73"/>
    </row>
    <row r="1236" spans="1:10" s="5" customFormat="1" hidden="1">
      <c r="A1236" s="1069"/>
      <c r="B1236" s="244"/>
      <c r="C1236" s="383"/>
      <c r="D1236" s="383"/>
      <c r="E1236" s="383"/>
      <c r="F1236" s="138"/>
      <c r="G1236" s="138"/>
      <c r="H1236" s="136">
        <f t="shared" si="38"/>
        <v>0</v>
      </c>
      <c r="I1236" s="136">
        <f t="shared" si="39"/>
        <v>0</v>
      </c>
      <c r="J1236" s="73"/>
    </row>
    <row r="1237" spans="1:10" s="5" customFormat="1" hidden="1">
      <c r="A1237" s="1069"/>
      <c r="B1237" s="244"/>
      <c r="C1237" s="383"/>
      <c r="D1237" s="383"/>
      <c r="E1237" s="383"/>
      <c r="F1237" s="138"/>
      <c r="G1237" s="138"/>
      <c r="H1237" s="136">
        <f t="shared" si="38"/>
        <v>0</v>
      </c>
      <c r="I1237" s="136">
        <f t="shared" si="39"/>
        <v>0</v>
      </c>
      <c r="J1237" s="73"/>
    </row>
    <row r="1238" spans="1:10" s="5" customFormat="1" hidden="1">
      <c r="A1238" s="1069"/>
      <c r="B1238" s="246"/>
      <c r="C1238" s="434"/>
      <c r="D1238" s="434"/>
      <c r="E1238" s="435"/>
      <c r="F1238" s="138"/>
      <c r="G1238" s="138"/>
      <c r="H1238" s="136">
        <f t="shared" si="38"/>
        <v>0</v>
      </c>
      <c r="I1238" s="136">
        <f t="shared" si="39"/>
        <v>0</v>
      </c>
      <c r="J1238" s="73"/>
    </row>
    <row r="1239" spans="1:10" s="5" customFormat="1" hidden="1">
      <c r="A1239" s="1069"/>
      <c r="B1239" s="246"/>
      <c r="C1239" s="434"/>
      <c r="D1239" s="434"/>
      <c r="E1239" s="435"/>
      <c r="F1239" s="138"/>
      <c r="G1239" s="138"/>
      <c r="H1239" s="136">
        <f t="shared" si="38"/>
        <v>0</v>
      </c>
      <c r="I1239" s="136">
        <f t="shared" si="39"/>
        <v>0</v>
      </c>
      <c r="J1239" s="73"/>
    </row>
    <row r="1240" spans="1:10" s="5" customFormat="1" hidden="1">
      <c r="A1240" s="1069"/>
      <c r="B1240" s="246"/>
      <c r="C1240" s="434"/>
      <c r="D1240" s="434"/>
      <c r="E1240" s="435"/>
      <c r="F1240" s="138"/>
      <c r="G1240" s="138"/>
      <c r="H1240" s="136">
        <f t="shared" si="38"/>
        <v>0</v>
      </c>
      <c r="I1240" s="136">
        <f t="shared" si="39"/>
        <v>0</v>
      </c>
      <c r="J1240" s="73"/>
    </row>
    <row r="1241" spans="1:10" s="5" customFormat="1" hidden="1">
      <c r="A1241" s="1069"/>
      <c r="B1241" s="246"/>
      <c r="C1241" s="434"/>
      <c r="D1241" s="434"/>
      <c r="E1241" s="435"/>
      <c r="F1241" s="138"/>
      <c r="G1241" s="138"/>
      <c r="H1241" s="136">
        <f t="shared" si="38"/>
        <v>0</v>
      </c>
      <c r="I1241" s="136">
        <f t="shared" si="39"/>
        <v>0</v>
      </c>
      <c r="J1241" s="73"/>
    </row>
    <row r="1242" spans="1:10" s="5" customFormat="1" hidden="1">
      <c r="A1242" s="1069"/>
      <c r="B1242" s="246"/>
      <c r="C1242" s="434"/>
      <c r="D1242" s="434"/>
      <c r="E1242" s="435"/>
      <c r="F1242" s="138"/>
      <c r="G1242" s="138"/>
      <c r="H1242" s="136">
        <f t="shared" si="38"/>
        <v>0</v>
      </c>
      <c r="I1242" s="136">
        <f t="shared" si="39"/>
        <v>0</v>
      </c>
      <c r="J1242" s="73"/>
    </row>
    <row r="1243" spans="1:10" s="5" customFormat="1" hidden="1">
      <c r="A1243" s="1069"/>
      <c r="B1243" s="246"/>
      <c r="C1243" s="434"/>
      <c r="D1243" s="434"/>
      <c r="E1243" s="435"/>
      <c r="F1243" s="138"/>
      <c r="G1243" s="138"/>
      <c r="H1243" s="136">
        <f t="shared" si="38"/>
        <v>0</v>
      </c>
      <c r="I1243" s="136">
        <f t="shared" si="39"/>
        <v>0</v>
      </c>
      <c r="J1243" s="73"/>
    </row>
    <row r="1244" spans="1:10" s="5" customFormat="1" hidden="1">
      <c r="A1244" s="1069"/>
      <c r="B1244" s="246"/>
      <c r="C1244" s="434"/>
      <c r="D1244" s="434"/>
      <c r="E1244" s="435"/>
      <c r="F1244" s="138"/>
      <c r="G1244" s="138"/>
      <c r="H1244" s="136">
        <f t="shared" si="38"/>
        <v>0</v>
      </c>
      <c r="I1244" s="136">
        <f t="shared" si="39"/>
        <v>0</v>
      </c>
      <c r="J1244" s="73"/>
    </row>
    <row r="1245" spans="1:10" s="5" customFormat="1" hidden="1">
      <c r="A1245" s="1069"/>
      <c r="B1245" s="244"/>
      <c r="C1245" s="434"/>
      <c r="D1245" s="434"/>
      <c r="E1245" s="436"/>
      <c r="F1245" s="138"/>
      <c r="G1245" s="138"/>
      <c r="H1245" s="136">
        <f t="shared" si="38"/>
        <v>0</v>
      </c>
      <c r="I1245" s="136">
        <f t="shared" si="39"/>
        <v>0</v>
      </c>
      <c r="J1245" s="73"/>
    </row>
    <row r="1246" spans="1:10" s="5" customFormat="1" hidden="1">
      <c r="A1246" s="1069"/>
      <c r="B1246" s="244"/>
      <c r="C1246" s="434"/>
      <c r="D1246" s="434"/>
      <c r="E1246" s="436"/>
      <c r="F1246" s="138"/>
      <c r="G1246" s="138"/>
      <c r="H1246" s="136">
        <f t="shared" si="38"/>
        <v>0</v>
      </c>
      <c r="I1246" s="136">
        <f t="shared" si="39"/>
        <v>0</v>
      </c>
      <c r="J1246" s="73"/>
    </row>
    <row r="1247" spans="1:10" s="5" customFormat="1" hidden="1">
      <c r="A1247" s="1069"/>
      <c r="B1247" s="244"/>
      <c r="C1247" s="434"/>
      <c r="D1247" s="434"/>
      <c r="E1247" s="436"/>
      <c r="F1247" s="138"/>
      <c r="G1247" s="138"/>
      <c r="H1247" s="136">
        <f t="shared" si="38"/>
        <v>0</v>
      </c>
      <c r="I1247" s="136">
        <f t="shared" si="39"/>
        <v>0</v>
      </c>
      <c r="J1247" s="73"/>
    </row>
    <row r="1248" spans="1:10" s="5" customFormat="1" hidden="1">
      <c r="A1248" s="1069"/>
      <c r="B1248" s="244"/>
      <c r="C1248" s="434"/>
      <c r="D1248" s="434"/>
      <c r="E1248" s="436"/>
      <c r="F1248" s="138"/>
      <c r="G1248" s="138"/>
      <c r="H1248" s="136">
        <f t="shared" si="38"/>
        <v>0</v>
      </c>
      <c r="I1248" s="136">
        <f t="shared" si="39"/>
        <v>0</v>
      </c>
      <c r="J1248" s="73"/>
    </row>
    <row r="1249" spans="1:10" s="5" customFormat="1" hidden="1">
      <c r="A1249" s="1069"/>
      <c r="B1249" s="244"/>
      <c r="C1249" s="434"/>
      <c r="D1249" s="434"/>
      <c r="E1249" s="436"/>
      <c r="F1249" s="138"/>
      <c r="G1249" s="138"/>
      <c r="H1249" s="136">
        <f t="shared" si="38"/>
        <v>0</v>
      </c>
      <c r="I1249" s="136">
        <f t="shared" si="39"/>
        <v>0</v>
      </c>
      <c r="J1249" s="73"/>
    </row>
    <row r="1250" spans="1:10" s="5" customFormat="1" hidden="1">
      <c r="A1250" s="1069"/>
      <c r="B1250" s="244"/>
      <c r="C1250" s="434"/>
      <c r="D1250" s="434"/>
      <c r="E1250" s="436"/>
      <c r="F1250" s="138"/>
      <c r="G1250" s="138"/>
      <c r="H1250" s="136">
        <f t="shared" si="38"/>
        <v>0</v>
      </c>
      <c r="I1250" s="136">
        <f t="shared" si="39"/>
        <v>0</v>
      </c>
      <c r="J1250" s="73"/>
    </row>
    <row r="1251" spans="1:10" s="5" customFormat="1" hidden="1">
      <c r="A1251" s="1069"/>
      <c r="B1251" s="244"/>
      <c r="C1251" s="434"/>
      <c r="D1251" s="434"/>
      <c r="E1251" s="436"/>
      <c r="F1251" s="138"/>
      <c r="G1251" s="138"/>
      <c r="H1251" s="136">
        <f t="shared" si="38"/>
        <v>0</v>
      </c>
      <c r="I1251" s="136">
        <f t="shared" si="39"/>
        <v>0</v>
      </c>
      <c r="J1251" s="73"/>
    </row>
    <row r="1252" spans="1:10" s="5" customFormat="1" hidden="1">
      <c r="A1252" s="1069"/>
      <c r="B1252" s="244"/>
      <c r="C1252" s="434"/>
      <c r="D1252" s="434"/>
      <c r="E1252" s="436"/>
      <c r="F1252" s="138"/>
      <c r="G1252" s="138"/>
      <c r="H1252" s="136">
        <f t="shared" si="38"/>
        <v>0</v>
      </c>
      <c r="I1252" s="136">
        <f t="shared" si="39"/>
        <v>0</v>
      </c>
      <c r="J1252" s="73"/>
    </row>
    <row r="1253" spans="1:10" s="5" customFormat="1" hidden="1">
      <c r="A1253" s="1069"/>
      <c r="B1253" s="244"/>
      <c r="C1253" s="434"/>
      <c r="D1253" s="434"/>
      <c r="E1253" s="436"/>
      <c r="F1253" s="138"/>
      <c r="G1253" s="138"/>
      <c r="H1253" s="136">
        <f t="shared" si="38"/>
        <v>0</v>
      </c>
      <c r="I1253" s="136">
        <f t="shared" si="39"/>
        <v>0</v>
      </c>
      <c r="J1253" s="73"/>
    </row>
    <row r="1254" spans="1:10" s="5" customFormat="1" hidden="1">
      <c r="A1254" s="1069"/>
      <c r="B1254" s="244"/>
      <c r="C1254" s="434"/>
      <c r="D1254" s="434"/>
      <c r="E1254" s="436"/>
      <c r="F1254" s="138"/>
      <c r="G1254" s="138"/>
      <c r="H1254" s="136">
        <f t="shared" si="38"/>
        <v>0</v>
      </c>
      <c r="I1254" s="136">
        <f t="shared" si="39"/>
        <v>0</v>
      </c>
      <c r="J1254" s="73"/>
    </row>
    <row r="1255" spans="1:10" s="5" customFormat="1" hidden="1">
      <c r="A1255" s="1069"/>
      <c r="B1255" s="244"/>
      <c r="C1255" s="434"/>
      <c r="D1255" s="434"/>
      <c r="E1255" s="436"/>
      <c r="F1255" s="138"/>
      <c r="G1255" s="138"/>
      <c r="H1255" s="136">
        <f t="shared" si="38"/>
        <v>0</v>
      </c>
      <c r="I1255" s="136">
        <f t="shared" si="39"/>
        <v>0</v>
      </c>
      <c r="J1255" s="73"/>
    </row>
    <row r="1256" spans="1:10" s="5" customFormat="1" hidden="1">
      <c r="A1256" s="1069"/>
      <c r="B1256" s="244"/>
      <c r="C1256" s="434"/>
      <c r="D1256" s="434"/>
      <c r="E1256" s="436"/>
      <c r="F1256" s="138"/>
      <c r="G1256" s="138"/>
      <c r="H1256" s="136">
        <f t="shared" si="38"/>
        <v>0</v>
      </c>
      <c r="I1256" s="136">
        <f t="shared" si="39"/>
        <v>0</v>
      </c>
      <c r="J1256" s="73"/>
    </row>
    <row r="1257" spans="1:10" s="5" customFormat="1" hidden="1">
      <c r="A1257" s="1069"/>
      <c r="B1257" s="244"/>
      <c r="C1257" s="434"/>
      <c r="D1257" s="434"/>
      <c r="E1257" s="436"/>
      <c r="F1257" s="138"/>
      <c r="G1257" s="138"/>
      <c r="H1257" s="136">
        <f t="shared" si="38"/>
        <v>0</v>
      </c>
      <c r="I1257" s="136">
        <f t="shared" si="39"/>
        <v>0</v>
      </c>
      <c r="J1257" s="73"/>
    </row>
    <row r="1258" spans="1:10" s="5" customFormat="1" hidden="1">
      <c r="A1258" s="1069"/>
      <c r="B1258" s="244"/>
      <c r="C1258" s="434"/>
      <c r="D1258" s="434"/>
      <c r="E1258" s="436"/>
      <c r="F1258" s="138"/>
      <c r="G1258" s="138"/>
      <c r="H1258" s="136">
        <f t="shared" si="38"/>
        <v>0</v>
      </c>
      <c r="I1258" s="136">
        <f t="shared" si="39"/>
        <v>0</v>
      </c>
      <c r="J1258" s="73"/>
    </row>
    <row r="1259" spans="1:10" s="5" customFormat="1" hidden="1">
      <c r="A1259" s="1069"/>
      <c r="B1259" s="244"/>
      <c r="C1259" s="434"/>
      <c r="D1259" s="434"/>
      <c r="E1259" s="436"/>
      <c r="F1259" s="138"/>
      <c r="G1259" s="138"/>
      <c r="H1259" s="136">
        <f t="shared" si="38"/>
        <v>0</v>
      </c>
      <c r="I1259" s="136">
        <f t="shared" si="39"/>
        <v>0</v>
      </c>
      <c r="J1259" s="73"/>
    </row>
    <row r="1260" spans="1:10" s="5" customFormat="1" hidden="1">
      <c r="A1260" s="1069"/>
      <c r="B1260" s="244"/>
      <c r="C1260" s="434"/>
      <c r="D1260" s="434"/>
      <c r="E1260" s="436"/>
      <c r="F1260" s="138"/>
      <c r="G1260" s="138"/>
      <c r="H1260" s="136">
        <f t="shared" si="38"/>
        <v>0</v>
      </c>
      <c r="I1260" s="136">
        <f t="shared" si="39"/>
        <v>0</v>
      </c>
      <c r="J1260" s="73"/>
    </row>
    <row r="1261" spans="1:10" s="5" customFormat="1" hidden="1">
      <c r="A1261" s="1069"/>
      <c r="B1261" s="244"/>
      <c r="C1261" s="383"/>
      <c r="D1261" s="383"/>
      <c r="E1261" s="433"/>
      <c r="F1261" s="138"/>
      <c r="G1261" s="138"/>
      <c r="H1261" s="136">
        <f t="shared" si="38"/>
        <v>0</v>
      </c>
      <c r="I1261" s="136">
        <f t="shared" si="39"/>
        <v>0</v>
      </c>
      <c r="J1261" s="73"/>
    </row>
    <row r="1262" spans="1:10" s="5" customFormat="1" hidden="1">
      <c r="A1262" s="1069"/>
      <c r="B1262" s="244"/>
      <c r="C1262" s="383"/>
      <c r="D1262" s="383"/>
      <c r="E1262" s="433"/>
      <c r="F1262" s="138"/>
      <c r="G1262" s="138"/>
      <c r="H1262" s="136">
        <f t="shared" si="38"/>
        <v>0</v>
      </c>
      <c r="I1262" s="136">
        <f t="shared" si="39"/>
        <v>0</v>
      </c>
      <c r="J1262" s="73"/>
    </row>
    <row r="1263" spans="1:10" s="5" customFormat="1" hidden="1">
      <c r="A1263" s="1069"/>
      <c r="B1263" s="244"/>
      <c r="C1263" s="383"/>
      <c r="D1263" s="383"/>
      <c r="E1263" s="433"/>
      <c r="F1263" s="138"/>
      <c r="G1263" s="138"/>
      <c r="H1263" s="136">
        <f t="shared" si="38"/>
        <v>0</v>
      </c>
      <c r="I1263" s="136">
        <f t="shared" si="39"/>
        <v>0</v>
      </c>
      <c r="J1263" s="73"/>
    </row>
    <row r="1264" spans="1:10" s="5" customFormat="1" hidden="1">
      <c r="A1264" s="1069"/>
      <c r="B1264" s="244"/>
      <c r="C1264" s="383"/>
      <c r="D1264" s="383"/>
      <c r="E1264" s="433"/>
      <c r="F1264" s="138"/>
      <c r="G1264" s="138"/>
      <c r="H1264" s="136">
        <f t="shared" si="38"/>
        <v>0</v>
      </c>
      <c r="I1264" s="136">
        <f t="shared" si="39"/>
        <v>0</v>
      </c>
      <c r="J1264" s="73"/>
    </row>
    <row r="1265" spans="1:10">
      <c r="A1265" s="1068"/>
      <c r="B1265" s="461" t="s">
        <v>253</v>
      </c>
      <c r="C1265" s="462">
        <f>SUM(C1216:C1264)</f>
        <v>48720</v>
      </c>
      <c r="D1265" s="462">
        <f>SUM(D1216:D1264)</f>
        <v>0</v>
      </c>
      <c r="E1265" s="462">
        <f>SUM(E1216:E1264)</f>
        <v>48720</v>
      </c>
      <c r="F1265" s="76">
        <f>SUM(F1216:F1216)</f>
        <v>0</v>
      </c>
      <c r="G1265" s="76">
        <f>SUM(G1216:G1216)</f>
        <v>0</v>
      </c>
      <c r="H1265" s="459">
        <f t="shared" si="38"/>
        <v>0</v>
      </c>
      <c r="I1265" s="459">
        <f t="shared" si="39"/>
        <v>97440</v>
      </c>
      <c r="J1265" s="460"/>
    </row>
    <row r="1266" spans="1:10" ht="93.75">
      <c r="A1266" s="1068" t="s">
        <v>458</v>
      </c>
      <c r="B1266" s="310" t="s">
        <v>1819</v>
      </c>
      <c r="C1266" s="455">
        <v>50000</v>
      </c>
      <c r="D1266" s="455"/>
      <c r="E1266" s="455">
        <v>50000</v>
      </c>
      <c r="F1266" s="138"/>
      <c r="G1266" s="138"/>
      <c r="H1266" s="459">
        <f t="shared" si="38"/>
        <v>0</v>
      </c>
      <c r="I1266" s="459">
        <f t="shared" si="39"/>
        <v>100000</v>
      </c>
      <c r="J1266" s="460"/>
    </row>
    <row r="1267" spans="1:10" ht="131.25">
      <c r="A1267" s="1068"/>
      <c r="B1267" s="310" t="s">
        <v>1681</v>
      </c>
      <c r="C1267" s="455">
        <v>131470</v>
      </c>
      <c r="D1267" s="455"/>
      <c r="E1267" s="455">
        <v>131470</v>
      </c>
      <c r="F1267" s="138"/>
      <c r="G1267" s="138"/>
      <c r="H1267" s="459">
        <f t="shared" si="38"/>
        <v>0</v>
      </c>
      <c r="I1267" s="459">
        <f t="shared" si="39"/>
        <v>262940</v>
      </c>
      <c r="J1267" s="460"/>
    </row>
    <row r="1268" spans="1:10" ht="37.5">
      <c r="A1268" s="1068"/>
      <c r="B1268" s="310" t="s">
        <v>1053</v>
      </c>
      <c r="C1268" s="455">
        <v>540000</v>
      </c>
      <c r="D1268" s="455"/>
      <c r="E1268" s="455">
        <v>540000</v>
      </c>
      <c r="F1268" s="138"/>
      <c r="G1268" s="138"/>
      <c r="H1268" s="459">
        <f t="shared" si="38"/>
        <v>0</v>
      </c>
      <c r="I1268" s="459">
        <f t="shared" si="39"/>
        <v>1080000</v>
      </c>
      <c r="J1268" s="460"/>
    </row>
    <row r="1269" spans="1:10" ht="93.75">
      <c r="A1269" s="1068"/>
      <c r="B1269" s="310" t="s">
        <v>1819</v>
      </c>
      <c r="C1269" s="453">
        <v>92100</v>
      </c>
      <c r="D1269" s="453"/>
      <c r="E1269" s="453">
        <v>92100</v>
      </c>
      <c r="F1269" s="387"/>
      <c r="G1269" s="387"/>
      <c r="H1269" s="459">
        <f t="shared" si="38"/>
        <v>0</v>
      </c>
      <c r="I1269" s="459">
        <f t="shared" si="39"/>
        <v>184200</v>
      </c>
      <c r="J1269" s="460"/>
    </row>
    <row r="1270" spans="1:10" s="5" customFormat="1" hidden="1">
      <c r="A1270" s="1069"/>
      <c r="B1270" s="244"/>
      <c r="C1270" s="383"/>
      <c r="D1270" s="383"/>
      <c r="E1270" s="430"/>
      <c r="F1270" s="55"/>
      <c r="G1270" s="55"/>
      <c r="H1270" s="136">
        <f t="shared" si="38"/>
        <v>0</v>
      </c>
      <c r="I1270" s="136">
        <f t="shared" si="39"/>
        <v>0</v>
      </c>
      <c r="J1270" s="73"/>
    </row>
    <row r="1271" spans="1:10" s="5" customFormat="1" hidden="1">
      <c r="A1271" s="1069"/>
      <c r="B1271" s="244"/>
      <c r="C1271" s="383"/>
      <c r="D1271" s="383"/>
      <c r="E1271" s="430"/>
      <c r="F1271" s="55"/>
      <c r="G1271" s="55"/>
      <c r="H1271" s="136">
        <f t="shared" si="38"/>
        <v>0</v>
      </c>
      <c r="I1271" s="136">
        <f t="shared" si="39"/>
        <v>0</v>
      </c>
      <c r="J1271" s="73"/>
    </row>
    <row r="1272" spans="1:10" s="5" customFormat="1" hidden="1">
      <c r="A1272" s="1069"/>
      <c r="B1272" s="244"/>
      <c r="C1272" s="383"/>
      <c r="D1272" s="383"/>
      <c r="E1272" s="430"/>
      <c r="F1272" s="55"/>
      <c r="G1272" s="55"/>
      <c r="H1272" s="136">
        <f t="shared" si="38"/>
        <v>0</v>
      </c>
      <c r="I1272" s="136">
        <f t="shared" si="39"/>
        <v>0</v>
      </c>
      <c r="J1272" s="73"/>
    </row>
    <row r="1273" spans="1:10" s="5" customFormat="1" hidden="1">
      <c r="A1273" s="1069"/>
      <c r="B1273" s="244"/>
      <c r="C1273" s="383"/>
      <c r="D1273" s="383"/>
      <c r="E1273" s="430"/>
      <c r="F1273" s="55"/>
      <c r="G1273" s="55"/>
      <c r="H1273" s="136">
        <f t="shared" si="38"/>
        <v>0</v>
      </c>
      <c r="I1273" s="136">
        <f t="shared" si="39"/>
        <v>0</v>
      </c>
      <c r="J1273" s="73"/>
    </row>
    <row r="1274" spans="1:10" s="5" customFormat="1" hidden="1">
      <c r="A1274" s="1069"/>
      <c r="B1274" s="244"/>
      <c r="C1274" s="383"/>
      <c r="D1274" s="383"/>
      <c r="E1274" s="430"/>
      <c r="F1274" s="55"/>
      <c r="G1274" s="55"/>
      <c r="H1274" s="136">
        <f t="shared" si="38"/>
        <v>0</v>
      </c>
      <c r="I1274" s="136">
        <f t="shared" si="39"/>
        <v>0</v>
      </c>
      <c r="J1274" s="73"/>
    </row>
    <row r="1275" spans="1:10" s="5" customFormat="1" hidden="1">
      <c r="A1275" s="1069"/>
      <c r="B1275" s="244"/>
      <c r="C1275" s="383"/>
      <c r="D1275" s="383"/>
      <c r="E1275" s="383"/>
      <c r="F1275" s="55"/>
      <c r="G1275" s="55"/>
      <c r="H1275" s="136">
        <f t="shared" si="38"/>
        <v>0</v>
      </c>
      <c r="I1275" s="136">
        <f t="shared" si="39"/>
        <v>0</v>
      </c>
      <c r="J1275" s="73"/>
    </row>
    <row r="1276" spans="1:10" s="5" customFormat="1" hidden="1">
      <c r="A1276" s="1069"/>
      <c r="B1276" s="244"/>
      <c r="C1276" s="383"/>
      <c r="D1276" s="383"/>
      <c r="E1276" s="430"/>
      <c r="F1276" s="55"/>
      <c r="G1276" s="55"/>
      <c r="H1276" s="136">
        <f t="shared" si="38"/>
        <v>0</v>
      </c>
      <c r="I1276" s="136">
        <f t="shared" si="39"/>
        <v>0</v>
      </c>
      <c r="J1276" s="73"/>
    </row>
    <row r="1277" spans="1:10" s="5" customFormat="1" hidden="1">
      <c r="A1277" s="1069"/>
      <c r="B1277" s="244"/>
      <c r="C1277" s="383"/>
      <c r="D1277" s="383"/>
      <c r="E1277" s="430"/>
      <c r="F1277" s="55"/>
      <c r="G1277" s="55"/>
      <c r="H1277" s="136">
        <f t="shared" si="38"/>
        <v>0</v>
      </c>
      <c r="I1277" s="136">
        <f t="shared" si="39"/>
        <v>0</v>
      </c>
      <c r="J1277" s="73"/>
    </row>
    <row r="1278" spans="1:10" s="5" customFormat="1" hidden="1">
      <c r="A1278" s="1069"/>
      <c r="B1278" s="244"/>
      <c r="C1278" s="383"/>
      <c r="D1278" s="383"/>
      <c r="E1278" s="383"/>
      <c r="F1278" s="55"/>
      <c r="G1278" s="55"/>
      <c r="H1278" s="136">
        <f t="shared" si="38"/>
        <v>0</v>
      </c>
      <c r="I1278" s="136">
        <f t="shared" si="39"/>
        <v>0</v>
      </c>
      <c r="J1278" s="73"/>
    </row>
    <row r="1279" spans="1:10" s="5" customFormat="1" hidden="1">
      <c r="A1279" s="1069"/>
      <c r="B1279" s="244"/>
      <c r="C1279" s="383"/>
      <c r="D1279" s="383"/>
      <c r="E1279" s="383"/>
      <c r="F1279" s="55"/>
      <c r="G1279" s="55"/>
      <c r="H1279" s="136">
        <f t="shared" si="38"/>
        <v>0</v>
      </c>
      <c r="I1279" s="136">
        <f t="shared" si="39"/>
        <v>0</v>
      </c>
      <c r="J1279" s="73"/>
    </row>
    <row r="1280" spans="1:10" s="5" customFormat="1" hidden="1">
      <c r="A1280" s="1069"/>
      <c r="B1280" s="244"/>
      <c r="C1280" s="383"/>
      <c r="D1280" s="383"/>
      <c r="E1280" s="383"/>
      <c r="F1280" s="55"/>
      <c r="G1280" s="55"/>
      <c r="H1280" s="136">
        <f t="shared" si="38"/>
        <v>0</v>
      </c>
      <c r="I1280" s="136">
        <f t="shared" si="39"/>
        <v>0</v>
      </c>
      <c r="J1280" s="73"/>
    </row>
    <row r="1281" spans="1:10" s="5" customFormat="1" hidden="1">
      <c r="A1281" s="1069"/>
      <c r="B1281" s="244"/>
      <c r="C1281" s="383"/>
      <c r="D1281" s="383"/>
      <c r="E1281" s="383"/>
      <c r="F1281" s="55"/>
      <c r="G1281" s="55"/>
      <c r="H1281" s="136">
        <f t="shared" si="38"/>
        <v>0</v>
      </c>
      <c r="I1281" s="136">
        <f t="shared" si="39"/>
        <v>0</v>
      </c>
      <c r="J1281" s="73"/>
    </row>
    <row r="1282" spans="1:10" s="5" customFormat="1" hidden="1">
      <c r="A1282" s="1069"/>
      <c r="B1282" s="244"/>
      <c r="C1282" s="383"/>
      <c r="D1282" s="383"/>
      <c r="E1282" s="383"/>
      <c r="F1282" s="55"/>
      <c r="G1282" s="55"/>
      <c r="H1282" s="136">
        <f t="shared" si="38"/>
        <v>0</v>
      </c>
      <c r="I1282" s="136">
        <f t="shared" si="39"/>
        <v>0</v>
      </c>
      <c r="J1282" s="73"/>
    </row>
    <row r="1283" spans="1:10" s="5" customFormat="1" hidden="1">
      <c r="A1283" s="1069"/>
      <c r="B1283" s="244"/>
      <c r="C1283" s="383"/>
      <c r="D1283" s="383"/>
      <c r="E1283" s="383"/>
      <c r="F1283" s="55"/>
      <c r="G1283" s="55"/>
      <c r="H1283" s="136">
        <f t="shared" si="38"/>
        <v>0</v>
      </c>
      <c r="I1283" s="136">
        <f t="shared" si="39"/>
        <v>0</v>
      </c>
      <c r="J1283" s="73"/>
    </row>
    <row r="1284" spans="1:10" s="5" customFormat="1" hidden="1">
      <c r="A1284" s="1069"/>
      <c r="B1284" s="244"/>
      <c r="C1284" s="383"/>
      <c r="D1284" s="383"/>
      <c r="E1284" s="383"/>
      <c r="F1284" s="55"/>
      <c r="G1284" s="55"/>
      <c r="H1284" s="136">
        <f t="shared" si="38"/>
        <v>0</v>
      </c>
      <c r="I1284" s="136">
        <f t="shared" si="39"/>
        <v>0</v>
      </c>
      <c r="J1284" s="73"/>
    </row>
    <row r="1285" spans="1:10" s="5" customFormat="1" hidden="1">
      <c r="A1285" s="1069"/>
      <c r="B1285" s="244"/>
      <c r="C1285" s="383"/>
      <c r="D1285" s="383"/>
      <c r="E1285" s="383"/>
      <c r="F1285" s="55"/>
      <c r="G1285" s="55"/>
      <c r="H1285" s="136">
        <f t="shared" si="38"/>
        <v>0</v>
      </c>
      <c r="I1285" s="136">
        <f t="shared" si="39"/>
        <v>0</v>
      </c>
      <c r="J1285" s="73"/>
    </row>
    <row r="1286" spans="1:10" s="5" customFormat="1" hidden="1">
      <c r="A1286" s="1069"/>
      <c r="B1286" s="244"/>
      <c r="C1286" s="383"/>
      <c r="D1286" s="383"/>
      <c r="E1286" s="383"/>
      <c r="F1286" s="55"/>
      <c r="G1286" s="55"/>
      <c r="H1286" s="136">
        <f t="shared" si="38"/>
        <v>0</v>
      </c>
      <c r="I1286" s="136">
        <f t="shared" si="39"/>
        <v>0</v>
      </c>
      <c r="J1286" s="73"/>
    </row>
    <row r="1287" spans="1:10" s="5" customFormat="1" hidden="1">
      <c r="A1287" s="1069"/>
      <c r="B1287" s="244"/>
      <c r="C1287" s="383"/>
      <c r="D1287" s="383"/>
      <c r="E1287" s="383"/>
      <c r="F1287" s="55"/>
      <c r="G1287" s="55"/>
      <c r="H1287" s="136">
        <f t="shared" si="38"/>
        <v>0</v>
      </c>
      <c r="I1287" s="136">
        <f t="shared" si="39"/>
        <v>0</v>
      </c>
      <c r="J1287" s="73"/>
    </row>
    <row r="1288" spans="1:10" s="5" customFormat="1" hidden="1">
      <c r="A1288" s="1069"/>
      <c r="B1288" s="244"/>
      <c r="C1288" s="383"/>
      <c r="D1288" s="383"/>
      <c r="E1288" s="383"/>
      <c r="F1288" s="55"/>
      <c r="G1288" s="55"/>
      <c r="H1288" s="136">
        <f t="shared" si="38"/>
        <v>0</v>
      </c>
      <c r="I1288" s="136">
        <f t="shared" si="39"/>
        <v>0</v>
      </c>
      <c r="J1288" s="73"/>
    </row>
    <row r="1289" spans="1:10" s="5" customFormat="1" hidden="1">
      <c r="A1289" s="1069"/>
      <c r="B1289" s="244"/>
      <c r="C1289" s="383"/>
      <c r="D1289" s="383"/>
      <c r="E1289" s="383"/>
      <c r="F1289" s="55"/>
      <c r="G1289" s="55"/>
      <c r="H1289" s="136">
        <f t="shared" ref="H1289:H1352" si="40">E1289+D1289-C1289</f>
        <v>0</v>
      </c>
      <c r="I1289" s="136">
        <f t="shared" ref="I1289:I1352" si="41">SUM(C1289:E1289)</f>
        <v>0</v>
      </c>
      <c r="J1289" s="73"/>
    </row>
    <row r="1290" spans="1:10" s="5" customFormat="1" hidden="1">
      <c r="A1290" s="1069"/>
      <c r="B1290" s="244"/>
      <c r="C1290" s="383"/>
      <c r="D1290" s="383"/>
      <c r="E1290" s="383"/>
      <c r="F1290" s="55"/>
      <c r="G1290" s="55"/>
      <c r="H1290" s="136">
        <f t="shared" si="40"/>
        <v>0</v>
      </c>
      <c r="I1290" s="136">
        <f t="shared" si="41"/>
        <v>0</v>
      </c>
      <c r="J1290" s="73"/>
    </row>
    <row r="1291" spans="1:10" s="5" customFormat="1" hidden="1">
      <c r="A1291" s="1069"/>
      <c r="B1291" s="244"/>
      <c r="C1291" s="383"/>
      <c r="D1291" s="383"/>
      <c r="E1291" s="383"/>
      <c r="F1291" s="55"/>
      <c r="G1291" s="55"/>
      <c r="H1291" s="136">
        <f t="shared" si="40"/>
        <v>0</v>
      </c>
      <c r="I1291" s="136">
        <f t="shared" si="41"/>
        <v>0</v>
      </c>
      <c r="J1291" s="73"/>
    </row>
    <row r="1292" spans="1:10">
      <c r="A1292" s="1068"/>
      <c r="B1292" s="467" t="s">
        <v>253</v>
      </c>
      <c r="C1292" s="466">
        <f>SUM(C1266:C1291)</f>
        <v>813570</v>
      </c>
      <c r="D1292" s="466">
        <f>SUM(D1266:D1291)</f>
        <v>0</v>
      </c>
      <c r="E1292" s="466">
        <f>SUM(E1266:E1291)</f>
        <v>813570</v>
      </c>
      <c r="F1292" s="75">
        <f>SUM(F1266:F1269)</f>
        <v>0</v>
      </c>
      <c r="G1292" s="75">
        <f>SUM(G1266:G1269)</f>
        <v>0</v>
      </c>
      <c r="H1292" s="459">
        <f t="shared" si="40"/>
        <v>0</v>
      </c>
      <c r="I1292" s="459">
        <f t="shared" si="41"/>
        <v>1627140</v>
      </c>
      <c r="J1292" s="460"/>
    </row>
    <row r="1293" spans="1:10" ht="93.75">
      <c r="A1293" s="1068" t="s">
        <v>270</v>
      </c>
      <c r="B1293" s="310" t="s">
        <v>1819</v>
      </c>
      <c r="C1293" s="452">
        <v>1400</v>
      </c>
      <c r="D1293" s="452"/>
      <c r="E1293" s="452">
        <v>1400</v>
      </c>
      <c r="F1293" s="138"/>
      <c r="G1293" s="138"/>
      <c r="H1293" s="459">
        <f t="shared" si="40"/>
        <v>0</v>
      </c>
      <c r="I1293" s="459">
        <f t="shared" si="41"/>
        <v>2800</v>
      </c>
      <c r="J1293" s="460"/>
    </row>
    <row r="1294" spans="1:10" ht="75">
      <c r="A1294" s="1068"/>
      <c r="B1294" s="310" t="s">
        <v>1580</v>
      </c>
      <c r="C1294" s="452">
        <v>525000</v>
      </c>
      <c r="D1294" s="452"/>
      <c r="E1294" s="452">
        <v>525000</v>
      </c>
      <c r="F1294" s="138"/>
      <c r="G1294" s="138"/>
      <c r="H1294" s="459">
        <f t="shared" si="40"/>
        <v>0</v>
      </c>
      <c r="I1294" s="459">
        <f t="shared" si="41"/>
        <v>1050000</v>
      </c>
      <c r="J1294" s="460"/>
    </row>
    <row r="1295" spans="1:10" ht="93.75">
      <c r="A1295" s="1068"/>
      <c r="B1295" s="310" t="s">
        <v>1819</v>
      </c>
      <c r="C1295" s="452">
        <v>2000</v>
      </c>
      <c r="D1295" s="452"/>
      <c r="E1295" s="452">
        <v>2000</v>
      </c>
      <c r="F1295" s="55"/>
      <c r="G1295" s="55"/>
      <c r="H1295" s="459">
        <f t="shared" si="40"/>
        <v>0</v>
      </c>
      <c r="I1295" s="459">
        <f t="shared" si="41"/>
        <v>4000</v>
      </c>
      <c r="J1295" s="460"/>
    </row>
    <row r="1296" spans="1:10" ht="75">
      <c r="A1296" s="1068"/>
      <c r="B1296" s="310" t="s">
        <v>1580</v>
      </c>
      <c r="C1296" s="452">
        <v>15000</v>
      </c>
      <c r="D1296" s="452"/>
      <c r="E1296" s="452">
        <v>15000</v>
      </c>
      <c r="F1296" s="55"/>
      <c r="G1296" s="55"/>
      <c r="H1296" s="459">
        <f t="shared" si="40"/>
        <v>0</v>
      </c>
      <c r="I1296" s="459">
        <f t="shared" si="41"/>
        <v>30000</v>
      </c>
      <c r="J1296" s="460"/>
    </row>
    <row r="1297" spans="1:10" s="5" customFormat="1" hidden="1">
      <c r="A1297" s="1069"/>
      <c r="B1297" s="244"/>
      <c r="C1297" s="430"/>
      <c r="D1297" s="430"/>
      <c r="E1297" s="430"/>
      <c r="F1297" s="55"/>
      <c r="G1297" s="55"/>
      <c r="H1297" s="136">
        <f t="shared" si="40"/>
        <v>0</v>
      </c>
      <c r="I1297" s="136">
        <f t="shared" si="41"/>
        <v>0</v>
      </c>
      <c r="J1297" s="73"/>
    </row>
    <row r="1298" spans="1:10" s="5" customFormat="1" hidden="1">
      <c r="A1298" s="1069"/>
      <c r="B1298" s="244"/>
      <c r="C1298" s="430"/>
      <c r="D1298" s="430"/>
      <c r="E1298" s="430"/>
      <c r="F1298" s="55"/>
      <c r="G1298" s="55"/>
      <c r="H1298" s="136">
        <f t="shared" si="40"/>
        <v>0</v>
      </c>
      <c r="I1298" s="136">
        <f t="shared" si="41"/>
        <v>0</v>
      </c>
      <c r="J1298" s="73"/>
    </row>
    <row r="1299" spans="1:10" s="5" customFormat="1" hidden="1">
      <c r="A1299" s="1069"/>
      <c r="B1299" s="244"/>
      <c r="C1299" s="430"/>
      <c r="D1299" s="430"/>
      <c r="E1299" s="430"/>
      <c r="F1299" s="55"/>
      <c r="G1299" s="55"/>
      <c r="H1299" s="136">
        <f t="shared" si="40"/>
        <v>0</v>
      </c>
      <c r="I1299" s="136">
        <f t="shared" si="41"/>
        <v>0</v>
      </c>
      <c r="J1299" s="73"/>
    </row>
    <row r="1300" spans="1:10" s="5" customFormat="1" hidden="1">
      <c r="A1300" s="1069"/>
      <c r="B1300" s="244"/>
      <c r="C1300" s="430"/>
      <c r="D1300" s="430"/>
      <c r="E1300" s="430"/>
      <c r="F1300" s="55"/>
      <c r="G1300" s="55"/>
      <c r="H1300" s="136">
        <f t="shared" si="40"/>
        <v>0</v>
      </c>
      <c r="I1300" s="136">
        <f t="shared" si="41"/>
        <v>0</v>
      </c>
      <c r="J1300" s="73"/>
    </row>
    <row r="1301" spans="1:10" s="5" customFormat="1" hidden="1">
      <c r="A1301" s="1069"/>
      <c r="B1301" s="244"/>
      <c r="C1301" s="430"/>
      <c r="D1301" s="430"/>
      <c r="E1301" s="430"/>
      <c r="F1301" s="55"/>
      <c r="G1301" s="55"/>
      <c r="H1301" s="136">
        <f t="shared" si="40"/>
        <v>0</v>
      </c>
      <c r="I1301" s="136">
        <f t="shared" si="41"/>
        <v>0</v>
      </c>
      <c r="J1301" s="73"/>
    </row>
    <row r="1302" spans="1:10" s="5" customFormat="1" hidden="1">
      <c r="A1302" s="1069"/>
      <c r="B1302" s="244"/>
      <c r="C1302" s="430"/>
      <c r="D1302" s="430"/>
      <c r="E1302" s="430"/>
      <c r="F1302" s="55"/>
      <c r="G1302" s="55"/>
      <c r="H1302" s="136">
        <f t="shared" si="40"/>
        <v>0</v>
      </c>
      <c r="I1302" s="136">
        <f t="shared" si="41"/>
        <v>0</v>
      </c>
      <c r="J1302" s="73"/>
    </row>
    <row r="1303" spans="1:10" s="5" customFormat="1" hidden="1">
      <c r="A1303" s="1069"/>
      <c r="B1303" s="244"/>
      <c r="C1303" s="430"/>
      <c r="D1303" s="430"/>
      <c r="E1303" s="430"/>
      <c r="F1303" s="55"/>
      <c r="G1303" s="55"/>
      <c r="H1303" s="136">
        <f t="shared" si="40"/>
        <v>0</v>
      </c>
      <c r="I1303" s="136">
        <f t="shared" si="41"/>
        <v>0</v>
      </c>
      <c r="J1303" s="73"/>
    </row>
    <row r="1304" spans="1:10" s="5" customFormat="1" hidden="1">
      <c r="A1304" s="1069"/>
      <c r="B1304" s="244"/>
      <c r="C1304" s="430"/>
      <c r="D1304" s="430"/>
      <c r="E1304" s="430"/>
      <c r="F1304" s="55"/>
      <c r="G1304" s="55"/>
      <c r="H1304" s="136">
        <f t="shared" si="40"/>
        <v>0</v>
      </c>
      <c r="I1304" s="136">
        <f t="shared" si="41"/>
        <v>0</v>
      </c>
      <c r="J1304" s="73"/>
    </row>
    <row r="1305" spans="1:10" s="5" customFormat="1" hidden="1">
      <c r="A1305" s="1069"/>
      <c r="B1305" s="244"/>
      <c r="C1305" s="430"/>
      <c r="D1305" s="430"/>
      <c r="E1305" s="430"/>
      <c r="F1305" s="55"/>
      <c r="G1305" s="55"/>
      <c r="H1305" s="136">
        <f t="shared" si="40"/>
        <v>0</v>
      </c>
      <c r="I1305" s="136">
        <f t="shared" si="41"/>
        <v>0</v>
      </c>
      <c r="J1305" s="73"/>
    </row>
    <row r="1306" spans="1:10" s="5" customFormat="1" hidden="1">
      <c r="A1306" s="1069"/>
      <c r="B1306" s="244"/>
      <c r="C1306" s="430"/>
      <c r="D1306" s="430"/>
      <c r="E1306" s="430"/>
      <c r="F1306" s="55"/>
      <c r="G1306" s="55"/>
      <c r="H1306" s="136">
        <f t="shared" si="40"/>
        <v>0</v>
      </c>
      <c r="I1306" s="136">
        <f t="shared" si="41"/>
        <v>0</v>
      </c>
      <c r="J1306" s="73"/>
    </row>
    <row r="1307" spans="1:10" s="5" customFormat="1" hidden="1">
      <c r="A1307" s="1069"/>
      <c r="B1307" s="244"/>
      <c r="C1307" s="430"/>
      <c r="D1307" s="430"/>
      <c r="E1307" s="430"/>
      <c r="F1307" s="55"/>
      <c r="G1307" s="55"/>
      <c r="H1307" s="136">
        <f t="shared" si="40"/>
        <v>0</v>
      </c>
      <c r="I1307" s="136">
        <f t="shared" si="41"/>
        <v>0</v>
      </c>
      <c r="J1307" s="73"/>
    </row>
    <row r="1308" spans="1:10" s="5" customFormat="1" hidden="1">
      <c r="A1308" s="1069"/>
      <c r="B1308" s="244"/>
      <c r="C1308" s="383"/>
      <c r="D1308" s="430"/>
      <c r="E1308" s="430"/>
      <c r="F1308" s="55"/>
      <c r="G1308" s="55"/>
      <c r="H1308" s="136">
        <f t="shared" si="40"/>
        <v>0</v>
      </c>
      <c r="I1308" s="136">
        <f t="shared" si="41"/>
        <v>0</v>
      </c>
      <c r="J1308" s="73"/>
    </row>
    <row r="1309" spans="1:10" s="5" customFormat="1" hidden="1">
      <c r="A1309" s="1069"/>
      <c r="B1309" s="244"/>
      <c r="C1309" s="383"/>
      <c r="D1309" s="430"/>
      <c r="E1309" s="430"/>
      <c r="F1309" s="55"/>
      <c r="G1309" s="55"/>
      <c r="H1309" s="136">
        <f t="shared" si="40"/>
        <v>0</v>
      </c>
      <c r="I1309" s="136">
        <f t="shared" si="41"/>
        <v>0</v>
      </c>
      <c r="J1309" s="73"/>
    </row>
    <row r="1310" spans="1:10" s="5" customFormat="1" hidden="1">
      <c r="A1310" s="1069"/>
      <c r="B1310" s="244"/>
      <c r="C1310" s="383"/>
      <c r="D1310" s="430"/>
      <c r="E1310" s="430"/>
      <c r="F1310" s="55"/>
      <c r="G1310" s="55"/>
      <c r="H1310" s="136">
        <f t="shared" si="40"/>
        <v>0</v>
      </c>
      <c r="I1310" s="136">
        <f t="shared" si="41"/>
        <v>0</v>
      </c>
      <c r="J1310" s="73"/>
    </row>
    <row r="1311" spans="1:10" s="5" customFormat="1" hidden="1">
      <c r="A1311" s="1069"/>
      <c r="B1311" s="244"/>
      <c r="C1311" s="383"/>
      <c r="D1311" s="430"/>
      <c r="E1311" s="430"/>
      <c r="F1311" s="55"/>
      <c r="G1311" s="55"/>
      <c r="H1311" s="136">
        <f t="shared" si="40"/>
        <v>0</v>
      </c>
      <c r="I1311" s="136">
        <f t="shared" si="41"/>
        <v>0</v>
      </c>
      <c r="J1311" s="73"/>
    </row>
    <row r="1312" spans="1:10" s="5" customFormat="1" hidden="1">
      <c r="A1312" s="1069"/>
      <c r="B1312" s="244"/>
      <c r="C1312" s="383"/>
      <c r="D1312" s="430"/>
      <c r="E1312" s="430"/>
      <c r="F1312" s="55"/>
      <c r="G1312" s="55"/>
      <c r="H1312" s="136">
        <f t="shared" si="40"/>
        <v>0</v>
      </c>
      <c r="I1312" s="136">
        <f t="shared" si="41"/>
        <v>0</v>
      </c>
      <c r="J1312" s="73"/>
    </row>
    <row r="1313" spans="1:10" s="5" customFormat="1" hidden="1">
      <c r="A1313" s="1069"/>
      <c r="B1313" s="244"/>
      <c r="C1313" s="383"/>
      <c r="D1313" s="383"/>
      <c r="E1313" s="383"/>
      <c r="F1313" s="55"/>
      <c r="G1313" s="55"/>
      <c r="H1313" s="136">
        <f t="shared" si="40"/>
        <v>0</v>
      </c>
      <c r="I1313" s="136">
        <f t="shared" si="41"/>
        <v>0</v>
      </c>
      <c r="J1313" s="73"/>
    </row>
    <row r="1314" spans="1:10" s="5" customFormat="1" hidden="1">
      <c r="A1314" s="1069"/>
      <c r="B1314" s="244"/>
      <c r="C1314" s="383"/>
      <c r="D1314" s="383"/>
      <c r="E1314" s="383"/>
      <c r="F1314" s="55"/>
      <c r="G1314" s="55"/>
      <c r="H1314" s="136">
        <f t="shared" si="40"/>
        <v>0</v>
      </c>
      <c r="I1314" s="136">
        <f t="shared" si="41"/>
        <v>0</v>
      </c>
      <c r="J1314" s="73"/>
    </row>
    <row r="1315" spans="1:10" s="5" customFormat="1" hidden="1">
      <c r="A1315" s="1069"/>
      <c r="B1315" s="244"/>
      <c r="C1315" s="383"/>
      <c r="D1315" s="383"/>
      <c r="E1315" s="383"/>
      <c r="F1315" s="55"/>
      <c r="G1315" s="55"/>
      <c r="H1315" s="136">
        <f t="shared" si="40"/>
        <v>0</v>
      </c>
      <c r="I1315" s="136">
        <f t="shared" si="41"/>
        <v>0</v>
      </c>
      <c r="J1315" s="73"/>
    </row>
    <row r="1316" spans="1:10" s="5" customFormat="1" hidden="1">
      <c r="A1316" s="1069"/>
      <c r="B1316" s="244"/>
      <c r="C1316" s="383"/>
      <c r="D1316" s="383"/>
      <c r="E1316" s="383"/>
      <c r="F1316" s="55"/>
      <c r="G1316" s="55"/>
      <c r="H1316" s="136">
        <f t="shared" si="40"/>
        <v>0</v>
      </c>
      <c r="I1316" s="136">
        <f t="shared" si="41"/>
        <v>0</v>
      </c>
      <c r="J1316" s="73"/>
    </row>
    <row r="1317" spans="1:10" s="5" customFormat="1" hidden="1">
      <c r="A1317" s="1069"/>
      <c r="B1317" s="244"/>
      <c r="C1317" s="383"/>
      <c r="D1317" s="383"/>
      <c r="E1317" s="383"/>
      <c r="F1317" s="55"/>
      <c r="G1317" s="55"/>
      <c r="H1317" s="136">
        <f t="shared" si="40"/>
        <v>0</v>
      </c>
      <c r="I1317" s="136">
        <f t="shared" si="41"/>
        <v>0</v>
      </c>
      <c r="J1317" s="73"/>
    </row>
    <row r="1318" spans="1:10" s="5" customFormat="1" hidden="1">
      <c r="A1318" s="1069"/>
      <c r="B1318" s="244"/>
      <c r="C1318" s="383"/>
      <c r="D1318" s="383"/>
      <c r="E1318" s="430"/>
      <c r="F1318" s="55"/>
      <c r="G1318" s="55"/>
      <c r="H1318" s="136">
        <f t="shared" si="40"/>
        <v>0</v>
      </c>
      <c r="I1318" s="136">
        <f t="shared" si="41"/>
        <v>0</v>
      </c>
      <c r="J1318" s="73"/>
    </row>
    <row r="1319" spans="1:10" s="5" customFormat="1" hidden="1">
      <c r="A1319" s="1069"/>
      <c r="B1319" s="244"/>
      <c r="C1319" s="383"/>
      <c r="D1319" s="383"/>
      <c r="E1319" s="430"/>
      <c r="F1319" s="55"/>
      <c r="G1319" s="55"/>
      <c r="H1319" s="136">
        <f t="shared" si="40"/>
        <v>0</v>
      </c>
      <c r="I1319" s="136">
        <f t="shared" si="41"/>
        <v>0</v>
      </c>
      <c r="J1319" s="73"/>
    </row>
    <row r="1320" spans="1:10" s="5" customFormat="1" hidden="1">
      <c r="A1320" s="1069"/>
      <c r="B1320" s="244"/>
      <c r="C1320" s="383"/>
      <c r="D1320" s="383"/>
      <c r="E1320" s="430"/>
      <c r="F1320" s="55"/>
      <c r="G1320" s="55"/>
      <c r="H1320" s="136">
        <f t="shared" si="40"/>
        <v>0</v>
      </c>
      <c r="I1320" s="136">
        <f t="shared" si="41"/>
        <v>0</v>
      </c>
      <c r="J1320" s="73"/>
    </row>
    <row r="1321" spans="1:10" s="5" customFormat="1" hidden="1">
      <c r="A1321" s="1069"/>
      <c r="B1321" s="244"/>
      <c r="C1321" s="430"/>
      <c r="D1321" s="430"/>
      <c r="E1321" s="430"/>
      <c r="F1321" s="55"/>
      <c r="G1321" s="55"/>
      <c r="H1321" s="136">
        <f t="shared" si="40"/>
        <v>0</v>
      </c>
      <c r="I1321" s="136">
        <f t="shared" si="41"/>
        <v>0</v>
      </c>
      <c r="J1321" s="73"/>
    </row>
    <row r="1322" spans="1:10" s="5" customFormat="1" hidden="1">
      <c r="A1322" s="1069"/>
      <c r="B1322" s="244"/>
      <c r="C1322" s="430"/>
      <c r="D1322" s="430"/>
      <c r="E1322" s="430"/>
      <c r="F1322" s="55"/>
      <c r="G1322" s="55"/>
      <c r="H1322" s="136">
        <f t="shared" si="40"/>
        <v>0</v>
      </c>
      <c r="I1322" s="136">
        <f t="shared" si="41"/>
        <v>0</v>
      </c>
      <c r="J1322" s="73"/>
    </row>
    <row r="1323" spans="1:10" s="5" customFormat="1" hidden="1">
      <c r="A1323" s="1069"/>
      <c r="B1323" s="244"/>
      <c r="C1323" s="430"/>
      <c r="D1323" s="430"/>
      <c r="E1323" s="430"/>
      <c r="F1323" s="55"/>
      <c r="G1323" s="55"/>
      <c r="H1323" s="136">
        <f t="shared" si="40"/>
        <v>0</v>
      </c>
      <c r="I1323" s="136">
        <f t="shared" si="41"/>
        <v>0</v>
      </c>
      <c r="J1323" s="73"/>
    </row>
    <row r="1324" spans="1:10" s="5" customFormat="1" hidden="1">
      <c r="A1324" s="1069"/>
      <c r="B1324" s="244"/>
      <c r="C1324" s="430"/>
      <c r="D1324" s="430"/>
      <c r="E1324" s="430"/>
      <c r="F1324" s="55"/>
      <c r="G1324" s="55"/>
      <c r="H1324" s="136">
        <f t="shared" si="40"/>
        <v>0</v>
      </c>
      <c r="I1324" s="136">
        <f t="shared" si="41"/>
        <v>0</v>
      </c>
      <c r="J1324" s="73"/>
    </row>
    <row r="1325" spans="1:10" s="5" customFormat="1" hidden="1">
      <c r="A1325" s="1069"/>
      <c r="B1325" s="244"/>
      <c r="C1325" s="430"/>
      <c r="D1325" s="430"/>
      <c r="E1325" s="430"/>
      <c r="F1325" s="55"/>
      <c r="G1325" s="55"/>
      <c r="H1325" s="136">
        <f t="shared" si="40"/>
        <v>0</v>
      </c>
      <c r="I1325" s="136">
        <f t="shared" si="41"/>
        <v>0</v>
      </c>
      <c r="J1325" s="73"/>
    </row>
    <row r="1326" spans="1:10" s="5" customFormat="1" hidden="1">
      <c r="A1326" s="1069"/>
      <c r="B1326" s="244"/>
      <c r="C1326" s="430"/>
      <c r="D1326" s="430"/>
      <c r="E1326" s="430"/>
      <c r="F1326" s="55"/>
      <c r="G1326" s="55"/>
      <c r="H1326" s="136">
        <f t="shared" si="40"/>
        <v>0</v>
      </c>
      <c r="I1326" s="136">
        <f t="shared" si="41"/>
        <v>0</v>
      </c>
      <c r="J1326" s="73"/>
    </row>
    <row r="1327" spans="1:10" s="5" customFormat="1" hidden="1">
      <c r="A1327" s="1069"/>
      <c r="B1327" s="244"/>
      <c r="C1327" s="434"/>
      <c r="D1327" s="434"/>
      <c r="E1327" s="436"/>
      <c r="F1327" s="55"/>
      <c r="G1327" s="55"/>
      <c r="H1327" s="136">
        <f t="shared" si="40"/>
        <v>0</v>
      </c>
      <c r="I1327" s="136">
        <f t="shared" si="41"/>
        <v>0</v>
      </c>
      <c r="J1327" s="73"/>
    </row>
    <row r="1328" spans="1:10" s="5" customFormat="1" hidden="1">
      <c r="A1328" s="1069"/>
      <c r="B1328" s="244"/>
      <c r="C1328" s="434"/>
      <c r="D1328" s="434"/>
      <c r="E1328" s="436"/>
      <c r="F1328" s="55"/>
      <c r="G1328" s="55"/>
      <c r="H1328" s="136">
        <f t="shared" si="40"/>
        <v>0</v>
      </c>
      <c r="I1328" s="136">
        <f t="shared" si="41"/>
        <v>0</v>
      </c>
      <c r="J1328" s="73"/>
    </row>
    <row r="1329" spans="1:10" s="5" customFormat="1" hidden="1">
      <c r="A1329" s="1069"/>
      <c r="B1329" s="244"/>
      <c r="C1329" s="434"/>
      <c r="D1329" s="434"/>
      <c r="E1329" s="436"/>
      <c r="F1329" s="55"/>
      <c r="G1329" s="55"/>
      <c r="H1329" s="136">
        <f t="shared" si="40"/>
        <v>0</v>
      </c>
      <c r="I1329" s="136">
        <f t="shared" si="41"/>
        <v>0</v>
      </c>
      <c r="J1329" s="73"/>
    </row>
    <row r="1330" spans="1:10" s="5" customFormat="1" hidden="1">
      <c r="A1330" s="1069"/>
      <c r="B1330" s="244"/>
      <c r="C1330" s="434"/>
      <c r="D1330" s="434"/>
      <c r="E1330" s="436"/>
      <c r="F1330" s="55"/>
      <c r="G1330" s="55"/>
      <c r="H1330" s="136">
        <f t="shared" si="40"/>
        <v>0</v>
      </c>
      <c r="I1330" s="136">
        <f t="shared" si="41"/>
        <v>0</v>
      </c>
      <c r="J1330" s="73"/>
    </row>
    <row r="1331" spans="1:10" s="5" customFormat="1" hidden="1">
      <c r="A1331" s="1069"/>
      <c r="B1331" s="244"/>
      <c r="C1331" s="434"/>
      <c r="D1331" s="434"/>
      <c r="E1331" s="436"/>
      <c r="F1331" s="55"/>
      <c r="G1331" s="55"/>
      <c r="H1331" s="136">
        <f t="shared" si="40"/>
        <v>0</v>
      </c>
      <c r="I1331" s="136">
        <f t="shared" si="41"/>
        <v>0</v>
      </c>
      <c r="J1331" s="73"/>
    </row>
    <row r="1332" spans="1:10" s="5" customFormat="1" hidden="1">
      <c r="A1332" s="1069"/>
      <c r="B1332" s="244"/>
      <c r="C1332" s="383"/>
      <c r="D1332" s="433"/>
      <c r="E1332" s="433"/>
      <c r="F1332" s="55"/>
      <c r="G1332" s="55"/>
      <c r="H1332" s="136">
        <f t="shared" si="40"/>
        <v>0</v>
      </c>
      <c r="I1332" s="136">
        <f t="shared" si="41"/>
        <v>0</v>
      </c>
      <c r="J1332" s="73"/>
    </row>
    <row r="1333" spans="1:10" s="5" customFormat="1" hidden="1">
      <c r="A1333" s="1069"/>
      <c r="B1333" s="244"/>
      <c r="C1333" s="383"/>
      <c r="D1333" s="433"/>
      <c r="E1333" s="433"/>
      <c r="F1333" s="55"/>
      <c r="G1333" s="55"/>
      <c r="H1333" s="136">
        <f t="shared" si="40"/>
        <v>0</v>
      </c>
      <c r="I1333" s="136">
        <f t="shared" si="41"/>
        <v>0</v>
      </c>
      <c r="J1333" s="73"/>
    </row>
    <row r="1334" spans="1:10" s="5" customFormat="1" hidden="1">
      <c r="A1334" s="1069"/>
      <c r="B1334" s="244"/>
      <c r="C1334" s="383"/>
      <c r="D1334" s="433"/>
      <c r="E1334" s="433"/>
      <c r="F1334" s="55"/>
      <c r="G1334" s="55"/>
      <c r="H1334" s="136">
        <f t="shared" si="40"/>
        <v>0</v>
      </c>
      <c r="I1334" s="136">
        <f t="shared" si="41"/>
        <v>0</v>
      </c>
      <c r="J1334" s="73"/>
    </row>
    <row r="1335" spans="1:10" s="5" customFormat="1" hidden="1">
      <c r="A1335" s="1069"/>
      <c r="B1335" s="244"/>
      <c r="C1335" s="383"/>
      <c r="D1335" s="433"/>
      <c r="E1335" s="433"/>
      <c r="F1335" s="55"/>
      <c r="G1335" s="55"/>
      <c r="H1335" s="136">
        <f t="shared" si="40"/>
        <v>0</v>
      </c>
      <c r="I1335" s="136">
        <f t="shared" si="41"/>
        <v>0</v>
      </c>
      <c r="J1335" s="73"/>
    </row>
    <row r="1336" spans="1:10" s="5" customFormat="1" hidden="1">
      <c r="A1336" s="1069"/>
      <c r="B1336" s="244"/>
      <c r="C1336" s="383"/>
      <c r="D1336" s="433"/>
      <c r="E1336" s="433"/>
      <c r="F1336" s="55"/>
      <c r="G1336" s="55"/>
      <c r="H1336" s="136">
        <f t="shared" si="40"/>
        <v>0</v>
      </c>
      <c r="I1336" s="136">
        <f t="shared" si="41"/>
        <v>0</v>
      </c>
      <c r="J1336" s="73"/>
    </row>
    <row r="1337" spans="1:10" s="5" customFormat="1" hidden="1">
      <c r="A1337" s="1069"/>
      <c r="B1337" s="244"/>
      <c r="C1337" s="383"/>
      <c r="D1337" s="433"/>
      <c r="E1337" s="433"/>
      <c r="F1337" s="55"/>
      <c r="G1337" s="55"/>
      <c r="H1337" s="136">
        <f t="shared" si="40"/>
        <v>0</v>
      </c>
      <c r="I1337" s="136">
        <f t="shared" si="41"/>
        <v>0</v>
      </c>
      <c r="J1337" s="73"/>
    </row>
    <row r="1338" spans="1:10" s="5" customFormat="1" hidden="1">
      <c r="A1338" s="1069"/>
      <c r="B1338" s="244"/>
      <c r="C1338" s="383"/>
      <c r="D1338" s="433"/>
      <c r="E1338" s="433"/>
      <c r="F1338" s="55"/>
      <c r="G1338" s="55"/>
      <c r="H1338" s="136">
        <f t="shared" si="40"/>
        <v>0</v>
      </c>
      <c r="I1338" s="136">
        <f t="shared" si="41"/>
        <v>0</v>
      </c>
      <c r="J1338" s="73"/>
    </row>
    <row r="1339" spans="1:10" s="5" customFormat="1" hidden="1">
      <c r="A1339" s="1069"/>
      <c r="B1339" s="244"/>
      <c r="C1339" s="383"/>
      <c r="D1339" s="433"/>
      <c r="E1339" s="433"/>
      <c r="F1339" s="55"/>
      <c r="G1339" s="55"/>
      <c r="H1339" s="136">
        <f t="shared" si="40"/>
        <v>0</v>
      </c>
      <c r="I1339" s="136">
        <f t="shared" si="41"/>
        <v>0</v>
      </c>
      <c r="J1339" s="73"/>
    </row>
    <row r="1340" spans="1:10" s="5" customFormat="1" hidden="1">
      <c r="A1340" s="1069"/>
      <c r="B1340" s="244"/>
      <c r="C1340" s="383"/>
      <c r="D1340" s="433"/>
      <c r="E1340" s="433"/>
      <c r="F1340" s="55"/>
      <c r="G1340" s="55"/>
      <c r="H1340" s="136">
        <f t="shared" si="40"/>
        <v>0</v>
      </c>
      <c r="I1340" s="136">
        <f t="shared" si="41"/>
        <v>0</v>
      </c>
      <c r="J1340" s="73"/>
    </row>
    <row r="1341" spans="1:10">
      <c r="A1341" s="1068"/>
      <c r="B1341" s="461" t="s">
        <v>253</v>
      </c>
      <c r="C1341" s="462">
        <f>SUM(C1293:C1340)</f>
        <v>543400</v>
      </c>
      <c r="D1341" s="462">
        <f>SUM(D1293:D1340)</f>
        <v>0</v>
      </c>
      <c r="E1341" s="462">
        <f>SUM(E1293:E1340)</f>
        <v>543400</v>
      </c>
      <c r="F1341" s="75">
        <f>SUM(F1293:F1312)</f>
        <v>0</v>
      </c>
      <c r="G1341" s="75">
        <f>SUM(G1293:G1312)</f>
        <v>0</v>
      </c>
      <c r="H1341" s="459">
        <f t="shared" si="40"/>
        <v>0</v>
      </c>
      <c r="I1341" s="459">
        <f t="shared" si="41"/>
        <v>1086800</v>
      </c>
      <c r="J1341" s="460"/>
    </row>
    <row r="1342" spans="1:10" ht="93.75">
      <c r="A1342" s="1068" t="s">
        <v>459</v>
      </c>
      <c r="B1342" s="310" t="s">
        <v>1819</v>
      </c>
      <c r="C1342" s="453">
        <v>120000</v>
      </c>
      <c r="D1342" s="453"/>
      <c r="E1342" s="453">
        <v>120000</v>
      </c>
      <c r="F1342" s="138"/>
      <c r="G1342" s="138"/>
      <c r="H1342" s="459">
        <f t="shared" si="40"/>
        <v>0</v>
      </c>
      <c r="I1342" s="459">
        <f t="shared" si="41"/>
        <v>240000</v>
      </c>
      <c r="J1342" s="460"/>
    </row>
    <row r="1343" spans="1:10" ht="112.5">
      <c r="A1343" s="1068"/>
      <c r="B1343" s="376" t="s">
        <v>2420</v>
      </c>
      <c r="C1343" s="471">
        <v>50000</v>
      </c>
      <c r="D1343" s="471"/>
      <c r="E1343" s="452">
        <v>50000</v>
      </c>
      <c r="F1343" s="136">
        <v>0</v>
      </c>
      <c r="G1343" s="136">
        <v>100000</v>
      </c>
      <c r="H1343" s="459">
        <f t="shared" si="40"/>
        <v>0</v>
      </c>
      <c r="I1343" s="459">
        <f t="shared" si="41"/>
        <v>100000</v>
      </c>
      <c r="J1343" s="460"/>
    </row>
    <row r="1344" spans="1:10" s="5" customFormat="1" hidden="1">
      <c r="A1344" s="1069"/>
      <c r="B1344" s="244"/>
      <c r="C1344" s="383"/>
      <c r="D1344" s="383"/>
      <c r="E1344" s="430"/>
      <c r="F1344" s="55"/>
      <c r="G1344" s="55"/>
      <c r="H1344" s="136">
        <f t="shared" si="40"/>
        <v>0</v>
      </c>
      <c r="I1344" s="136">
        <f t="shared" si="41"/>
        <v>0</v>
      </c>
      <c r="J1344" s="73"/>
    </row>
    <row r="1345" spans="1:10" s="5" customFormat="1" hidden="1">
      <c r="A1345" s="1069"/>
      <c r="B1345" s="244"/>
      <c r="C1345" s="383"/>
      <c r="D1345" s="383"/>
      <c r="E1345" s="430"/>
      <c r="F1345" s="55"/>
      <c r="G1345" s="55"/>
      <c r="H1345" s="136">
        <f t="shared" si="40"/>
        <v>0</v>
      </c>
      <c r="I1345" s="136">
        <f t="shared" si="41"/>
        <v>0</v>
      </c>
      <c r="J1345" s="73"/>
    </row>
    <row r="1346" spans="1:10" s="5" customFormat="1" hidden="1">
      <c r="A1346" s="1069"/>
      <c r="B1346" s="244"/>
      <c r="C1346" s="383"/>
      <c r="D1346" s="383"/>
      <c r="E1346" s="430"/>
      <c r="F1346" s="55"/>
      <c r="G1346" s="55"/>
      <c r="H1346" s="136">
        <f t="shared" si="40"/>
        <v>0</v>
      </c>
      <c r="I1346" s="136">
        <f t="shared" si="41"/>
        <v>0</v>
      </c>
      <c r="J1346" s="73"/>
    </row>
    <row r="1347" spans="1:10" s="5" customFormat="1" hidden="1">
      <c r="A1347" s="1069"/>
      <c r="B1347" s="244"/>
      <c r="C1347" s="430"/>
      <c r="D1347" s="430"/>
      <c r="E1347" s="430"/>
      <c r="F1347" s="55"/>
      <c r="G1347" s="55"/>
      <c r="H1347" s="136">
        <f t="shared" si="40"/>
        <v>0</v>
      </c>
      <c r="I1347" s="136">
        <f t="shared" si="41"/>
        <v>0</v>
      </c>
      <c r="J1347" s="73"/>
    </row>
    <row r="1348" spans="1:10" s="5" customFormat="1" hidden="1">
      <c r="A1348" s="1069"/>
      <c r="B1348" s="244"/>
      <c r="C1348" s="430"/>
      <c r="D1348" s="430"/>
      <c r="E1348" s="430"/>
      <c r="F1348" s="55"/>
      <c r="G1348" s="55"/>
      <c r="H1348" s="136">
        <f t="shared" si="40"/>
        <v>0</v>
      </c>
      <c r="I1348" s="136">
        <f t="shared" si="41"/>
        <v>0</v>
      </c>
      <c r="J1348" s="73"/>
    </row>
    <row r="1349" spans="1:10" s="5" customFormat="1" hidden="1">
      <c r="A1349" s="1069"/>
      <c r="B1349" s="244"/>
      <c r="C1349" s="430"/>
      <c r="D1349" s="430"/>
      <c r="E1349" s="430"/>
      <c r="F1349" s="55"/>
      <c r="G1349" s="55"/>
      <c r="H1349" s="136">
        <f t="shared" si="40"/>
        <v>0</v>
      </c>
      <c r="I1349" s="136">
        <f t="shared" si="41"/>
        <v>0</v>
      </c>
      <c r="J1349" s="73"/>
    </row>
    <row r="1350" spans="1:10" s="5" customFormat="1" hidden="1">
      <c r="A1350" s="1069"/>
      <c r="B1350" s="244"/>
      <c r="C1350" s="430"/>
      <c r="D1350" s="430"/>
      <c r="E1350" s="430"/>
      <c r="F1350" s="55"/>
      <c r="G1350" s="55"/>
      <c r="H1350" s="136">
        <f t="shared" si="40"/>
        <v>0</v>
      </c>
      <c r="I1350" s="136">
        <f t="shared" si="41"/>
        <v>0</v>
      </c>
      <c r="J1350" s="73"/>
    </row>
    <row r="1351" spans="1:10" s="5" customFormat="1" hidden="1">
      <c r="A1351" s="1069"/>
      <c r="B1351" s="244"/>
      <c r="C1351" s="434"/>
      <c r="D1351" s="434"/>
      <c r="E1351" s="436"/>
      <c r="F1351" s="55"/>
      <c r="G1351" s="55"/>
      <c r="H1351" s="136">
        <f t="shared" si="40"/>
        <v>0</v>
      </c>
      <c r="I1351" s="136">
        <f t="shared" si="41"/>
        <v>0</v>
      </c>
      <c r="J1351" s="73"/>
    </row>
    <row r="1352" spans="1:10" s="5" customFormat="1" hidden="1">
      <c r="A1352" s="1069"/>
      <c r="B1352" s="244"/>
      <c r="C1352" s="434"/>
      <c r="D1352" s="434"/>
      <c r="E1352" s="436"/>
      <c r="F1352" s="55"/>
      <c r="G1352" s="55"/>
      <c r="H1352" s="136">
        <f t="shared" si="40"/>
        <v>0</v>
      </c>
      <c r="I1352" s="136">
        <f t="shared" si="41"/>
        <v>0</v>
      </c>
      <c r="J1352" s="73"/>
    </row>
    <row r="1353" spans="1:10" s="5" customFormat="1" hidden="1">
      <c r="A1353" s="1069"/>
      <c r="B1353" s="246"/>
      <c r="C1353" s="434"/>
      <c r="D1353" s="434"/>
      <c r="E1353" s="435"/>
      <c r="F1353" s="55"/>
      <c r="G1353" s="55"/>
      <c r="H1353" s="136">
        <f t="shared" ref="H1353:H1416" si="42">E1353+D1353-C1353</f>
        <v>0</v>
      </c>
      <c r="I1353" s="136">
        <f t="shared" ref="I1353:I1416" si="43">SUM(C1353:E1353)</f>
        <v>0</v>
      </c>
      <c r="J1353" s="73"/>
    </row>
    <row r="1354" spans="1:10" s="5" customFormat="1" hidden="1">
      <c r="A1354" s="1069"/>
      <c r="B1354" s="244"/>
      <c r="C1354" s="433"/>
      <c r="D1354" s="433"/>
      <c r="E1354" s="433"/>
      <c r="F1354" s="55"/>
      <c r="G1354" s="55"/>
      <c r="H1354" s="136">
        <f t="shared" si="42"/>
        <v>0</v>
      </c>
      <c r="I1354" s="136">
        <f t="shared" si="43"/>
        <v>0</v>
      </c>
      <c r="J1354" s="73"/>
    </row>
    <row r="1355" spans="1:10" s="5" customFormat="1" hidden="1">
      <c r="A1355" s="1069"/>
      <c r="B1355" s="244"/>
      <c r="C1355" s="433"/>
      <c r="D1355" s="433"/>
      <c r="E1355" s="433"/>
      <c r="F1355" s="55"/>
      <c r="G1355" s="55"/>
      <c r="H1355" s="136">
        <f t="shared" si="42"/>
        <v>0</v>
      </c>
      <c r="I1355" s="136">
        <f t="shared" si="43"/>
        <v>0</v>
      </c>
      <c r="J1355" s="73"/>
    </row>
    <row r="1356" spans="1:10" s="5" customFormat="1" hidden="1">
      <c r="A1356" s="1069"/>
      <c r="B1356" s="244"/>
      <c r="C1356" s="433"/>
      <c r="D1356" s="433"/>
      <c r="E1356" s="433"/>
      <c r="F1356" s="55"/>
      <c r="G1356" s="55"/>
      <c r="H1356" s="136">
        <f t="shared" si="42"/>
        <v>0</v>
      </c>
      <c r="I1356" s="136">
        <f t="shared" si="43"/>
        <v>0</v>
      </c>
      <c r="J1356" s="73"/>
    </row>
    <row r="1357" spans="1:10" s="5" customFormat="1" hidden="1">
      <c r="A1357" s="1069"/>
      <c r="B1357" s="244"/>
      <c r="C1357" s="433"/>
      <c r="D1357" s="433"/>
      <c r="E1357" s="433"/>
      <c r="F1357" s="55"/>
      <c r="G1357" s="55"/>
      <c r="H1357" s="136">
        <f t="shared" si="42"/>
        <v>0</v>
      </c>
      <c r="I1357" s="136">
        <f t="shared" si="43"/>
        <v>0</v>
      </c>
      <c r="J1357" s="73"/>
    </row>
    <row r="1358" spans="1:10" s="5" customFormat="1" hidden="1">
      <c r="A1358" s="1069"/>
      <c r="B1358" s="244"/>
      <c r="C1358" s="433"/>
      <c r="D1358" s="433"/>
      <c r="E1358" s="433"/>
      <c r="F1358" s="55"/>
      <c r="G1358" s="55"/>
      <c r="H1358" s="136">
        <f t="shared" si="42"/>
        <v>0</v>
      </c>
      <c r="I1358" s="136">
        <f t="shared" si="43"/>
        <v>0</v>
      </c>
      <c r="J1358" s="73"/>
    </row>
    <row r="1359" spans="1:10" s="5" customFormat="1" hidden="1">
      <c r="A1359" s="1069"/>
      <c r="B1359" s="244"/>
      <c r="C1359" s="433"/>
      <c r="D1359" s="433"/>
      <c r="E1359" s="433"/>
      <c r="F1359" s="55"/>
      <c r="G1359" s="55"/>
      <c r="H1359" s="136">
        <f t="shared" si="42"/>
        <v>0</v>
      </c>
      <c r="I1359" s="136">
        <f t="shared" si="43"/>
        <v>0</v>
      </c>
      <c r="J1359" s="73"/>
    </row>
    <row r="1360" spans="1:10" s="5" customFormat="1" hidden="1">
      <c r="A1360" s="1069"/>
      <c r="B1360" s="244"/>
      <c r="C1360" s="433"/>
      <c r="D1360" s="433"/>
      <c r="E1360" s="433"/>
      <c r="F1360" s="55"/>
      <c r="G1360" s="55"/>
      <c r="H1360" s="136">
        <f t="shared" si="42"/>
        <v>0</v>
      </c>
      <c r="I1360" s="136">
        <f t="shared" si="43"/>
        <v>0</v>
      </c>
      <c r="J1360" s="73"/>
    </row>
    <row r="1361" spans="1:10" s="5" customFormat="1" hidden="1">
      <c r="A1361" s="1069"/>
      <c r="B1361" s="244"/>
      <c r="C1361" s="433"/>
      <c r="D1361" s="433"/>
      <c r="E1361" s="433"/>
      <c r="F1361" s="55"/>
      <c r="G1361" s="55"/>
      <c r="H1361" s="136">
        <f t="shared" si="42"/>
        <v>0</v>
      </c>
      <c r="I1361" s="136">
        <f t="shared" si="43"/>
        <v>0</v>
      </c>
      <c r="J1361" s="73"/>
    </row>
    <row r="1362" spans="1:10" s="5" customFormat="1" hidden="1">
      <c r="A1362" s="1069"/>
      <c r="B1362" s="244"/>
      <c r="C1362" s="433"/>
      <c r="D1362" s="433"/>
      <c r="E1362" s="433"/>
      <c r="F1362" s="55"/>
      <c r="G1362" s="55"/>
      <c r="H1362" s="136">
        <f t="shared" si="42"/>
        <v>0</v>
      </c>
      <c r="I1362" s="136">
        <f t="shared" si="43"/>
        <v>0</v>
      </c>
      <c r="J1362" s="73"/>
    </row>
    <row r="1363" spans="1:10" s="5" customFormat="1" hidden="1">
      <c r="A1363" s="1069"/>
      <c r="B1363" s="244"/>
      <c r="C1363" s="383"/>
      <c r="D1363" s="383"/>
      <c r="E1363" s="433"/>
      <c r="F1363" s="55"/>
      <c r="G1363" s="55"/>
      <c r="H1363" s="136">
        <f t="shared" si="42"/>
        <v>0</v>
      </c>
      <c r="I1363" s="136">
        <f t="shared" si="43"/>
        <v>0</v>
      </c>
      <c r="J1363" s="73"/>
    </row>
    <row r="1364" spans="1:10" s="5" customFormat="1" hidden="1">
      <c r="A1364" s="1069"/>
      <c r="B1364" s="244"/>
      <c r="C1364" s="383"/>
      <c r="D1364" s="383"/>
      <c r="E1364" s="433"/>
      <c r="F1364" s="55"/>
      <c r="G1364" s="55"/>
      <c r="H1364" s="136">
        <f t="shared" si="42"/>
        <v>0</v>
      </c>
      <c r="I1364" s="136">
        <f t="shared" si="43"/>
        <v>0</v>
      </c>
      <c r="J1364" s="73"/>
    </row>
    <row r="1365" spans="1:10" ht="116.25" customHeight="1">
      <c r="A1365" s="1068"/>
      <c r="B1365" s="376" t="s">
        <v>1681</v>
      </c>
      <c r="C1365" s="455">
        <v>25300</v>
      </c>
      <c r="D1365" s="455"/>
      <c r="E1365" s="471">
        <v>25300</v>
      </c>
      <c r="F1365" s="55"/>
      <c r="G1365" s="55"/>
      <c r="H1365" s="459">
        <f t="shared" si="42"/>
        <v>0</v>
      </c>
      <c r="I1365" s="459">
        <f t="shared" si="43"/>
        <v>50600</v>
      </c>
      <c r="J1365" s="460"/>
    </row>
    <row r="1366" spans="1:10">
      <c r="A1366" s="1068"/>
      <c r="B1366" s="461" t="s">
        <v>253</v>
      </c>
      <c r="C1366" s="470">
        <f>SUM(C1342:C1365)</f>
        <v>195300</v>
      </c>
      <c r="D1366" s="470">
        <f>SUM(D1342:D1365)</f>
        <v>0</v>
      </c>
      <c r="E1366" s="470">
        <f>SUM(E1342:E1365)</f>
        <v>195300</v>
      </c>
      <c r="F1366" s="75">
        <f>SUM(F1342:F1343)</f>
        <v>0</v>
      </c>
      <c r="G1366" s="75">
        <f>SUM(G1342:G1343)</f>
        <v>100000</v>
      </c>
      <c r="H1366" s="459">
        <f t="shared" si="42"/>
        <v>0</v>
      </c>
      <c r="I1366" s="459">
        <f t="shared" si="43"/>
        <v>390600</v>
      </c>
      <c r="J1366" s="460"/>
    </row>
    <row r="1367" spans="1:10" ht="112.5">
      <c r="A1367" s="1068" t="s">
        <v>460</v>
      </c>
      <c r="B1367" s="310" t="s">
        <v>3115</v>
      </c>
      <c r="C1367" s="453">
        <f>300000+100000</f>
        <v>400000</v>
      </c>
      <c r="D1367" s="453">
        <f>300000+100000</f>
        <v>400000</v>
      </c>
      <c r="E1367" s="453"/>
      <c r="F1367" s="413"/>
      <c r="G1367" s="413"/>
      <c r="H1367" s="459">
        <f t="shared" si="42"/>
        <v>0</v>
      </c>
      <c r="I1367" s="459">
        <f t="shared" si="43"/>
        <v>800000</v>
      </c>
      <c r="J1367" s="460"/>
    </row>
    <row r="1368" spans="1:10" ht="93.75">
      <c r="A1368" s="1068"/>
      <c r="B1368" s="310" t="s">
        <v>1819</v>
      </c>
      <c r="C1368" s="453">
        <v>168000</v>
      </c>
      <c r="D1368" s="453"/>
      <c r="E1368" s="453">
        <v>168000</v>
      </c>
      <c r="F1368" s="55"/>
      <c r="G1368" s="55"/>
      <c r="H1368" s="459">
        <f t="shared" si="42"/>
        <v>0</v>
      </c>
      <c r="I1368" s="459">
        <f t="shared" si="43"/>
        <v>336000</v>
      </c>
      <c r="J1368" s="460"/>
    </row>
    <row r="1369" spans="1:10" s="5" customFormat="1" hidden="1">
      <c r="A1369" s="1069"/>
      <c r="B1369" s="244"/>
      <c r="C1369" s="430"/>
      <c r="D1369" s="430"/>
      <c r="E1369" s="430"/>
      <c r="F1369" s="55"/>
      <c r="G1369" s="55"/>
      <c r="H1369" s="136">
        <f t="shared" si="42"/>
        <v>0</v>
      </c>
      <c r="I1369" s="136">
        <f t="shared" si="43"/>
        <v>0</v>
      </c>
      <c r="J1369" s="73"/>
    </row>
    <row r="1370" spans="1:10" s="234" customFormat="1" hidden="1">
      <c r="A1370" s="1069"/>
      <c r="B1370" s="244"/>
      <c r="C1370" s="430"/>
      <c r="D1370" s="430"/>
      <c r="E1370" s="430"/>
      <c r="F1370" s="233"/>
      <c r="G1370" s="233"/>
      <c r="H1370" s="136">
        <f t="shared" si="42"/>
        <v>0</v>
      </c>
      <c r="I1370" s="136">
        <f t="shared" si="43"/>
        <v>0</v>
      </c>
      <c r="J1370" s="73"/>
    </row>
    <row r="1371" spans="1:10" s="5" customFormat="1" hidden="1">
      <c r="A1371" s="1069"/>
      <c r="B1371" s="244"/>
      <c r="C1371" s="383"/>
      <c r="D1371" s="383"/>
      <c r="E1371" s="430"/>
      <c r="F1371" s="55"/>
      <c r="G1371" s="55"/>
      <c r="H1371" s="136">
        <f t="shared" si="42"/>
        <v>0</v>
      </c>
      <c r="I1371" s="136">
        <f t="shared" si="43"/>
        <v>0</v>
      </c>
      <c r="J1371" s="73"/>
    </row>
    <row r="1372" spans="1:10" s="5" customFormat="1" hidden="1">
      <c r="A1372" s="1069"/>
      <c r="B1372" s="244"/>
      <c r="C1372" s="383"/>
      <c r="D1372" s="383"/>
      <c r="E1372" s="430"/>
      <c r="F1372" s="55"/>
      <c r="G1372" s="55"/>
      <c r="H1372" s="136">
        <f t="shared" si="42"/>
        <v>0</v>
      </c>
      <c r="I1372" s="136">
        <f t="shared" si="43"/>
        <v>0</v>
      </c>
      <c r="J1372" s="73"/>
    </row>
    <row r="1373" spans="1:10" s="5" customFormat="1" hidden="1">
      <c r="A1373" s="1069"/>
      <c r="B1373" s="244"/>
      <c r="C1373" s="383"/>
      <c r="D1373" s="383"/>
      <c r="E1373" s="430"/>
      <c r="F1373" s="55"/>
      <c r="G1373" s="55"/>
      <c r="H1373" s="136">
        <f t="shared" si="42"/>
        <v>0</v>
      </c>
      <c r="I1373" s="136">
        <f t="shared" si="43"/>
        <v>0</v>
      </c>
      <c r="J1373" s="73"/>
    </row>
    <row r="1374" spans="1:10" s="5" customFormat="1" hidden="1">
      <c r="A1374" s="1069"/>
      <c r="B1374" s="244"/>
      <c r="C1374" s="430"/>
      <c r="D1374" s="430"/>
      <c r="E1374" s="430"/>
      <c r="F1374" s="55"/>
      <c r="G1374" s="55"/>
      <c r="H1374" s="136">
        <f t="shared" si="42"/>
        <v>0</v>
      </c>
      <c r="I1374" s="136">
        <f t="shared" si="43"/>
        <v>0</v>
      </c>
      <c r="J1374" s="73"/>
    </row>
    <row r="1375" spans="1:10" s="5" customFormat="1" hidden="1">
      <c r="A1375" s="1069"/>
      <c r="B1375" s="244"/>
      <c r="C1375" s="383"/>
      <c r="D1375" s="383"/>
      <c r="E1375" s="430"/>
      <c r="F1375" s="55"/>
      <c r="G1375" s="55"/>
      <c r="H1375" s="136">
        <f t="shared" si="42"/>
        <v>0</v>
      </c>
      <c r="I1375" s="136">
        <f t="shared" si="43"/>
        <v>0</v>
      </c>
      <c r="J1375" s="73"/>
    </row>
    <row r="1376" spans="1:10" s="5" customFormat="1" hidden="1">
      <c r="A1376" s="1069"/>
      <c r="B1376" s="244"/>
      <c r="C1376" s="383"/>
      <c r="D1376" s="383"/>
      <c r="E1376" s="430"/>
      <c r="F1376" s="55"/>
      <c r="G1376" s="55"/>
      <c r="H1376" s="136">
        <f t="shared" si="42"/>
        <v>0</v>
      </c>
      <c r="I1376" s="136">
        <f t="shared" si="43"/>
        <v>0</v>
      </c>
      <c r="J1376" s="73"/>
    </row>
    <row r="1377" spans="1:10" s="5" customFormat="1" hidden="1">
      <c r="A1377" s="1069"/>
      <c r="B1377" s="244"/>
      <c r="C1377" s="383"/>
      <c r="D1377" s="383"/>
      <c r="E1377" s="430"/>
      <c r="F1377" s="55"/>
      <c r="G1377" s="55"/>
      <c r="H1377" s="136">
        <f t="shared" si="42"/>
        <v>0</v>
      </c>
      <c r="I1377" s="136">
        <f t="shared" si="43"/>
        <v>0</v>
      </c>
      <c r="J1377" s="73"/>
    </row>
    <row r="1378" spans="1:10" s="5" customFormat="1" hidden="1">
      <c r="A1378" s="1069"/>
      <c r="B1378" s="244"/>
      <c r="C1378" s="383"/>
      <c r="D1378" s="383"/>
      <c r="E1378" s="430"/>
      <c r="F1378" s="55"/>
      <c r="G1378" s="55"/>
      <c r="H1378" s="136">
        <f t="shared" si="42"/>
        <v>0</v>
      </c>
      <c r="I1378" s="136">
        <f t="shared" si="43"/>
        <v>0</v>
      </c>
      <c r="J1378" s="73"/>
    </row>
    <row r="1379" spans="1:10" s="5" customFormat="1" hidden="1">
      <c r="A1379" s="1069"/>
      <c r="B1379" s="244"/>
      <c r="C1379" s="383"/>
      <c r="D1379" s="430"/>
      <c r="E1379" s="430"/>
      <c r="F1379" s="55"/>
      <c r="G1379" s="55"/>
      <c r="H1379" s="136">
        <f t="shared" si="42"/>
        <v>0</v>
      </c>
      <c r="I1379" s="136">
        <f t="shared" si="43"/>
        <v>0</v>
      </c>
      <c r="J1379" s="73"/>
    </row>
    <row r="1380" spans="1:10" s="5" customFormat="1" hidden="1">
      <c r="A1380" s="1069"/>
      <c r="B1380" s="244"/>
      <c r="C1380" s="383"/>
      <c r="D1380" s="383"/>
      <c r="E1380" s="433"/>
      <c r="F1380" s="55"/>
      <c r="G1380" s="55"/>
      <c r="H1380" s="136">
        <f t="shared" si="42"/>
        <v>0</v>
      </c>
      <c r="I1380" s="136">
        <f t="shared" si="43"/>
        <v>0</v>
      </c>
      <c r="J1380" s="73"/>
    </row>
    <row r="1381" spans="1:10" s="5" customFormat="1" hidden="1">
      <c r="A1381" s="1069"/>
      <c r="B1381" s="246"/>
      <c r="C1381" s="435"/>
      <c r="D1381" s="435"/>
      <c r="E1381" s="435"/>
      <c r="F1381" s="55"/>
      <c r="G1381" s="55"/>
      <c r="H1381" s="136">
        <f t="shared" si="42"/>
        <v>0</v>
      </c>
      <c r="I1381" s="136">
        <f t="shared" si="43"/>
        <v>0</v>
      </c>
      <c r="J1381" s="73"/>
    </row>
    <row r="1382" spans="1:10" s="5" customFormat="1" hidden="1">
      <c r="A1382" s="1069"/>
      <c r="B1382" s="246"/>
      <c r="C1382" s="435"/>
      <c r="D1382" s="435"/>
      <c r="E1382" s="435"/>
      <c r="F1382" s="55"/>
      <c r="G1382" s="55"/>
      <c r="H1382" s="136">
        <f t="shared" si="42"/>
        <v>0</v>
      </c>
      <c r="I1382" s="136">
        <f t="shared" si="43"/>
        <v>0</v>
      </c>
      <c r="J1382" s="73"/>
    </row>
    <row r="1383" spans="1:10" s="5" customFormat="1" hidden="1">
      <c r="A1383" s="1069"/>
      <c r="B1383" s="246"/>
      <c r="C1383" s="435"/>
      <c r="D1383" s="435"/>
      <c r="E1383" s="435"/>
      <c r="F1383" s="55"/>
      <c r="G1383" s="55"/>
      <c r="H1383" s="136">
        <f t="shared" si="42"/>
        <v>0</v>
      </c>
      <c r="I1383" s="136">
        <f t="shared" si="43"/>
        <v>0</v>
      </c>
      <c r="J1383" s="73"/>
    </row>
    <row r="1384" spans="1:10" s="5" customFormat="1" hidden="1">
      <c r="A1384" s="1069"/>
      <c r="B1384" s="246"/>
      <c r="C1384" s="435"/>
      <c r="D1384" s="435"/>
      <c r="E1384" s="435"/>
      <c r="F1384" s="55"/>
      <c r="G1384" s="55"/>
      <c r="H1384" s="136">
        <f t="shared" si="42"/>
        <v>0</v>
      </c>
      <c r="I1384" s="136">
        <f t="shared" si="43"/>
        <v>0</v>
      </c>
      <c r="J1384" s="73"/>
    </row>
    <row r="1385" spans="1:10" s="5" customFormat="1" hidden="1">
      <c r="A1385" s="1069"/>
      <c r="B1385" s="246"/>
      <c r="C1385" s="435"/>
      <c r="D1385" s="435"/>
      <c r="E1385" s="435"/>
      <c r="F1385" s="55"/>
      <c r="G1385" s="55"/>
      <c r="H1385" s="136">
        <f t="shared" si="42"/>
        <v>0</v>
      </c>
      <c r="I1385" s="136">
        <f t="shared" si="43"/>
        <v>0</v>
      </c>
      <c r="J1385" s="73"/>
    </row>
    <row r="1386" spans="1:10" s="5" customFormat="1" hidden="1">
      <c r="A1386" s="1069"/>
      <c r="B1386" s="246"/>
      <c r="C1386" s="435"/>
      <c r="D1386" s="435"/>
      <c r="E1386" s="435"/>
      <c r="F1386" s="55"/>
      <c r="G1386" s="55"/>
      <c r="H1386" s="136">
        <f t="shared" si="42"/>
        <v>0</v>
      </c>
      <c r="I1386" s="136">
        <f t="shared" si="43"/>
        <v>0</v>
      </c>
      <c r="J1386" s="73"/>
    </row>
    <row r="1387" spans="1:10" s="5" customFormat="1" hidden="1">
      <c r="A1387" s="1069"/>
      <c r="B1387" s="246"/>
      <c r="C1387" s="434"/>
      <c r="D1387" s="434"/>
      <c r="E1387" s="435"/>
      <c r="F1387" s="55"/>
      <c r="G1387" s="55"/>
      <c r="H1387" s="136">
        <f t="shared" si="42"/>
        <v>0</v>
      </c>
      <c r="I1387" s="136">
        <f t="shared" si="43"/>
        <v>0</v>
      </c>
      <c r="J1387" s="73"/>
    </row>
    <row r="1388" spans="1:10" s="5" customFormat="1" hidden="1">
      <c r="A1388" s="1069"/>
      <c r="B1388" s="246"/>
      <c r="C1388" s="434"/>
      <c r="D1388" s="434"/>
      <c r="E1388" s="435"/>
      <c r="F1388" s="55"/>
      <c r="G1388" s="55"/>
      <c r="H1388" s="136">
        <f t="shared" si="42"/>
        <v>0</v>
      </c>
      <c r="I1388" s="136">
        <f t="shared" si="43"/>
        <v>0</v>
      </c>
      <c r="J1388" s="73"/>
    </row>
    <row r="1389" spans="1:10" s="5" customFormat="1" hidden="1">
      <c r="A1389" s="1069"/>
      <c r="B1389" s="246"/>
      <c r="C1389" s="434"/>
      <c r="D1389" s="434"/>
      <c r="E1389" s="435"/>
      <c r="F1389" s="55"/>
      <c r="G1389" s="55"/>
      <c r="H1389" s="136">
        <f t="shared" si="42"/>
        <v>0</v>
      </c>
      <c r="I1389" s="136">
        <f t="shared" si="43"/>
        <v>0</v>
      </c>
      <c r="J1389" s="73"/>
    </row>
    <row r="1390" spans="1:10" s="5" customFormat="1" hidden="1">
      <c r="A1390" s="1069"/>
      <c r="B1390" s="244"/>
      <c r="C1390" s="434"/>
      <c r="D1390" s="434"/>
      <c r="E1390" s="436"/>
      <c r="F1390" s="55"/>
      <c r="G1390" s="55"/>
      <c r="H1390" s="136">
        <f t="shared" si="42"/>
        <v>0</v>
      </c>
      <c r="I1390" s="136">
        <f t="shared" si="43"/>
        <v>0</v>
      </c>
      <c r="J1390" s="73"/>
    </row>
    <row r="1391" spans="1:10" s="5" customFormat="1" hidden="1">
      <c r="A1391" s="1069"/>
      <c r="B1391" s="244"/>
      <c r="C1391" s="434"/>
      <c r="D1391" s="434"/>
      <c r="E1391" s="436"/>
      <c r="F1391" s="55"/>
      <c r="G1391" s="55"/>
      <c r="H1391" s="136">
        <f t="shared" si="42"/>
        <v>0</v>
      </c>
      <c r="I1391" s="136">
        <f t="shared" si="43"/>
        <v>0</v>
      </c>
      <c r="J1391" s="73"/>
    </row>
    <row r="1392" spans="1:10" s="5" customFormat="1" hidden="1">
      <c r="A1392" s="1069"/>
      <c r="B1392" s="244"/>
      <c r="C1392" s="434"/>
      <c r="D1392" s="434"/>
      <c r="E1392" s="436"/>
      <c r="F1392" s="55"/>
      <c r="G1392" s="55"/>
      <c r="H1392" s="136">
        <f t="shared" si="42"/>
        <v>0</v>
      </c>
      <c r="I1392" s="136">
        <f t="shared" si="43"/>
        <v>0</v>
      </c>
      <c r="J1392" s="73"/>
    </row>
    <row r="1393" spans="1:10" s="5" customFormat="1" hidden="1">
      <c r="A1393" s="1069"/>
      <c r="B1393" s="244"/>
      <c r="C1393" s="434"/>
      <c r="D1393" s="434"/>
      <c r="E1393" s="436"/>
      <c r="F1393" s="55"/>
      <c r="G1393" s="55"/>
      <c r="H1393" s="136">
        <f t="shared" si="42"/>
        <v>0</v>
      </c>
      <c r="I1393" s="136">
        <f t="shared" si="43"/>
        <v>0</v>
      </c>
      <c r="J1393" s="73"/>
    </row>
    <row r="1394" spans="1:10" s="5" customFormat="1" hidden="1">
      <c r="A1394" s="1069"/>
      <c r="B1394" s="244"/>
      <c r="C1394" s="434"/>
      <c r="D1394" s="434"/>
      <c r="E1394" s="436"/>
      <c r="F1394" s="55"/>
      <c r="G1394" s="55"/>
      <c r="H1394" s="136">
        <f t="shared" si="42"/>
        <v>0</v>
      </c>
      <c r="I1394" s="136">
        <f t="shared" si="43"/>
        <v>0</v>
      </c>
      <c r="J1394" s="73"/>
    </row>
    <row r="1395" spans="1:10" s="5" customFormat="1" hidden="1">
      <c r="A1395" s="1069"/>
      <c r="B1395" s="244"/>
      <c r="C1395" s="434"/>
      <c r="D1395" s="434"/>
      <c r="E1395" s="436"/>
      <c r="F1395" s="55"/>
      <c r="G1395" s="55"/>
      <c r="H1395" s="136">
        <f t="shared" si="42"/>
        <v>0</v>
      </c>
      <c r="I1395" s="136">
        <f t="shared" si="43"/>
        <v>0</v>
      </c>
      <c r="J1395" s="73"/>
    </row>
    <row r="1396" spans="1:10" s="5" customFormat="1" hidden="1">
      <c r="A1396" s="1069"/>
      <c r="B1396" s="244"/>
      <c r="C1396" s="434"/>
      <c r="D1396" s="434"/>
      <c r="E1396" s="436"/>
      <c r="F1396" s="55"/>
      <c r="G1396" s="55"/>
      <c r="H1396" s="136">
        <f t="shared" si="42"/>
        <v>0</v>
      </c>
      <c r="I1396" s="136">
        <f t="shared" si="43"/>
        <v>0</v>
      </c>
      <c r="J1396" s="73"/>
    </row>
    <row r="1397" spans="1:10" s="5" customFormat="1" hidden="1">
      <c r="A1397" s="1069"/>
      <c r="B1397" s="244"/>
      <c r="C1397" s="434"/>
      <c r="D1397" s="434"/>
      <c r="E1397" s="436"/>
      <c r="F1397" s="55"/>
      <c r="G1397" s="55"/>
      <c r="H1397" s="136">
        <f t="shared" si="42"/>
        <v>0</v>
      </c>
      <c r="I1397" s="136">
        <f t="shared" si="43"/>
        <v>0</v>
      </c>
      <c r="J1397" s="73"/>
    </row>
    <row r="1398" spans="1:10" s="5" customFormat="1" hidden="1">
      <c r="A1398" s="1069"/>
      <c r="B1398" s="244"/>
      <c r="C1398" s="434"/>
      <c r="D1398" s="434"/>
      <c r="E1398" s="436"/>
      <c r="F1398" s="55"/>
      <c r="G1398" s="55"/>
      <c r="H1398" s="136">
        <f t="shared" si="42"/>
        <v>0</v>
      </c>
      <c r="I1398" s="136">
        <f t="shared" si="43"/>
        <v>0</v>
      </c>
      <c r="J1398" s="73"/>
    </row>
    <row r="1399" spans="1:10" s="5" customFormat="1" hidden="1">
      <c r="A1399" s="1069"/>
      <c r="B1399" s="244"/>
      <c r="C1399" s="383"/>
      <c r="D1399" s="430"/>
      <c r="E1399" s="430"/>
      <c r="F1399" s="55"/>
      <c r="G1399" s="55"/>
      <c r="H1399" s="136">
        <f t="shared" si="42"/>
        <v>0</v>
      </c>
      <c r="I1399" s="136">
        <f t="shared" si="43"/>
        <v>0</v>
      </c>
      <c r="J1399" s="73"/>
    </row>
    <row r="1400" spans="1:10" s="5" customFormat="1" hidden="1">
      <c r="A1400" s="1069"/>
      <c r="B1400" s="244"/>
      <c r="C1400" s="434"/>
      <c r="D1400" s="434"/>
      <c r="E1400" s="436"/>
      <c r="F1400" s="55"/>
      <c r="G1400" s="55"/>
      <c r="H1400" s="136">
        <f t="shared" si="42"/>
        <v>0</v>
      </c>
      <c r="I1400" s="136">
        <f t="shared" si="43"/>
        <v>0</v>
      </c>
      <c r="J1400" s="73"/>
    </row>
    <row r="1401" spans="1:10" s="5" customFormat="1" hidden="1">
      <c r="A1401" s="1069"/>
      <c r="B1401" s="244"/>
      <c r="C1401" s="434"/>
      <c r="D1401" s="434"/>
      <c r="E1401" s="436"/>
      <c r="F1401" s="55"/>
      <c r="G1401" s="55"/>
      <c r="H1401" s="136">
        <f t="shared" si="42"/>
        <v>0</v>
      </c>
      <c r="I1401" s="136">
        <f t="shared" si="43"/>
        <v>0</v>
      </c>
      <c r="J1401" s="73"/>
    </row>
    <row r="1402" spans="1:10" s="5" customFormat="1" hidden="1">
      <c r="A1402" s="1069"/>
      <c r="B1402" s="244"/>
      <c r="C1402" s="434"/>
      <c r="D1402" s="434"/>
      <c r="E1402" s="436"/>
      <c r="F1402" s="55"/>
      <c r="G1402" s="55"/>
      <c r="H1402" s="136">
        <f t="shared" si="42"/>
        <v>0</v>
      </c>
      <c r="I1402" s="136">
        <f t="shared" si="43"/>
        <v>0</v>
      </c>
      <c r="J1402" s="73"/>
    </row>
    <row r="1403" spans="1:10" s="5" customFormat="1" hidden="1">
      <c r="A1403" s="1069"/>
      <c r="B1403" s="244"/>
      <c r="C1403" s="434"/>
      <c r="D1403" s="434"/>
      <c r="E1403" s="436"/>
      <c r="F1403" s="55"/>
      <c r="G1403" s="55"/>
      <c r="H1403" s="136">
        <f t="shared" si="42"/>
        <v>0</v>
      </c>
      <c r="I1403" s="136">
        <f t="shared" si="43"/>
        <v>0</v>
      </c>
      <c r="J1403" s="73"/>
    </row>
    <row r="1404" spans="1:10" s="5" customFormat="1" hidden="1">
      <c r="A1404" s="1069"/>
      <c r="B1404" s="244"/>
      <c r="C1404" s="434"/>
      <c r="D1404" s="434"/>
      <c r="E1404" s="436"/>
      <c r="F1404" s="55"/>
      <c r="G1404" s="55"/>
      <c r="H1404" s="136">
        <f t="shared" si="42"/>
        <v>0</v>
      </c>
      <c r="I1404" s="136">
        <f t="shared" si="43"/>
        <v>0</v>
      </c>
      <c r="J1404" s="73"/>
    </row>
    <row r="1405" spans="1:10" s="5" customFormat="1" hidden="1">
      <c r="A1405" s="1069"/>
      <c r="B1405" s="244"/>
      <c r="C1405" s="434"/>
      <c r="D1405" s="434"/>
      <c r="E1405" s="436"/>
      <c r="F1405" s="55"/>
      <c r="G1405" s="55"/>
      <c r="H1405" s="136">
        <f t="shared" si="42"/>
        <v>0</v>
      </c>
      <c r="I1405" s="136">
        <f t="shared" si="43"/>
        <v>0</v>
      </c>
      <c r="J1405" s="73"/>
    </row>
    <row r="1406" spans="1:10" s="5" customFormat="1" hidden="1">
      <c r="A1406" s="1069"/>
      <c r="B1406" s="244"/>
      <c r="C1406" s="434"/>
      <c r="D1406" s="434"/>
      <c r="E1406" s="436"/>
      <c r="F1406" s="55"/>
      <c r="G1406" s="55"/>
      <c r="H1406" s="136">
        <f t="shared" si="42"/>
        <v>0</v>
      </c>
      <c r="I1406" s="136">
        <f t="shared" si="43"/>
        <v>0</v>
      </c>
      <c r="J1406" s="73"/>
    </row>
    <row r="1407" spans="1:10" s="5" customFormat="1" hidden="1">
      <c r="A1407" s="1069"/>
      <c r="B1407" s="244"/>
      <c r="C1407" s="434"/>
      <c r="D1407" s="434"/>
      <c r="E1407" s="436"/>
      <c r="F1407" s="55"/>
      <c r="G1407" s="55"/>
      <c r="H1407" s="136">
        <f t="shared" si="42"/>
        <v>0</v>
      </c>
      <c r="I1407" s="136">
        <f t="shared" si="43"/>
        <v>0</v>
      </c>
      <c r="J1407" s="73"/>
    </row>
    <row r="1408" spans="1:10" s="5" customFormat="1" hidden="1">
      <c r="A1408" s="1069"/>
      <c r="B1408" s="244"/>
      <c r="C1408" s="434"/>
      <c r="D1408" s="434"/>
      <c r="E1408" s="436"/>
      <c r="F1408" s="55"/>
      <c r="G1408" s="55"/>
      <c r="H1408" s="136">
        <f t="shared" si="42"/>
        <v>0</v>
      </c>
      <c r="I1408" s="136">
        <f t="shared" si="43"/>
        <v>0</v>
      </c>
      <c r="J1408" s="73"/>
    </row>
    <row r="1409" spans="1:10" s="5" customFormat="1" hidden="1">
      <c r="A1409" s="1069"/>
      <c r="B1409" s="244"/>
      <c r="C1409" s="434"/>
      <c r="D1409" s="434"/>
      <c r="E1409" s="436"/>
      <c r="F1409" s="55"/>
      <c r="G1409" s="55"/>
      <c r="H1409" s="136">
        <f t="shared" si="42"/>
        <v>0</v>
      </c>
      <c r="I1409" s="136">
        <f t="shared" si="43"/>
        <v>0</v>
      </c>
      <c r="J1409" s="73"/>
    </row>
    <row r="1410" spans="1:10" s="5" customFormat="1" hidden="1">
      <c r="A1410" s="1069"/>
      <c r="B1410" s="244"/>
      <c r="C1410" s="434"/>
      <c r="D1410" s="434"/>
      <c r="E1410" s="436"/>
      <c r="F1410" s="55"/>
      <c r="G1410" s="55"/>
      <c r="H1410" s="136">
        <f t="shared" si="42"/>
        <v>0</v>
      </c>
      <c r="I1410" s="136">
        <f t="shared" si="43"/>
        <v>0</v>
      </c>
      <c r="J1410" s="73"/>
    </row>
    <row r="1411" spans="1:10" s="5" customFormat="1" hidden="1">
      <c r="A1411" s="1069"/>
      <c r="B1411" s="244"/>
      <c r="C1411" s="434"/>
      <c r="D1411" s="434"/>
      <c r="E1411" s="436"/>
      <c r="F1411" s="55"/>
      <c r="G1411" s="55"/>
      <c r="H1411" s="136">
        <f t="shared" si="42"/>
        <v>0</v>
      </c>
      <c r="I1411" s="136">
        <f t="shared" si="43"/>
        <v>0</v>
      </c>
      <c r="J1411" s="73"/>
    </row>
    <row r="1412" spans="1:10" ht="121.5" customHeight="1">
      <c r="A1412" s="1068"/>
      <c r="B1412" s="376" t="s">
        <v>1681</v>
      </c>
      <c r="C1412" s="455">
        <v>138050</v>
      </c>
      <c r="D1412" s="471"/>
      <c r="E1412" s="471">
        <v>138050</v>
      </c>
      <c r="F1412" s="55"/>
      <c r="G1412" s="55"/>
      <c r="H1412" s="459">
        <f t="shared" si="42"/>
        <v>0</v>
      </c>
      <c r="I1412" s="459">
        <f t="shared" si="43"/>
        <v>276100</v>
      </c>
      <c r="J1412" s="460"/>
    </row>
    <row r="1413" spans="1:10">
      <c r="A1413" s="1068"/>
      <c r="B1413" s="461" t="s">
        <v>253</v>
      </c>
      <c r="C1413" s="470">
        <f>SUM(C1367:C1412)</f>
        <v>706050</v>
      </c>
      <c r="D1413" s="470">
        <f>SUM(D1367:D1412)</f>
        <v>400000</v>
      </c>
      <c r="E1413" s="470">
        <f>SUM(E1367:E1412)</f>
        <v>306050</v>
      </c>
      <c r="F1413" s="75">
        <f>SUM(F1367:F1412)</f>
        <v>0</v>
      </c>
      <c r="G1413" s="75">
        <f>SUM(G1367:G1412)</f>
        <v>0</v>
      </c>
      <c r="H1413" s="459">
        <f t="shared" si="42"/>
        <v>0</v>
      </c>
      <c r="I1413" s="459">
        <f t="shared" si="43"/>
        <v>1412100</v>
      </c>
      <c r="J1413" s="460"/>
    </row>
    <row r="1414" spans="1:10" ht="93.75">
      <c r="A1414" s="1068" t="s">
        <v>1693</v>
      </c>
      <c r="B1414" s="310" t="s">
        <v>1819</v>
      </c>
      <c r="C1414" s="453">
        <v>44000</v>
      </c>
      <c r="D1414" s="453"/>
      <c r="E1414" s="453">
        <v>44000</v>
      </c>
      <c r="F1414" s="138"/>
      <c r="G1414" s="138"/>
      <c r="H1414" s="459">
        <f t="shared" si="42"/>
        <v>0</v>
      </c>
      <c r="I1414" s="459">
        <f t="shared" si="43"/>
        <v>88000</v>
      </c>
      <c r="J1414" s="460"/>
    </row>
    <row r="1415" spans="1:10" s="5" customFormat="1" hidden="1">
      <c r="A1415" s="1069"/>
      <c r="B1415" s="244"/>
      <c r="C1415" s="383"/>
      <c r="D1415" s="430"/>
      <c r="E1415" s="430"/>
      <c r="F1415" s="55"/>
      <c r="G1415" s="55"/>
      <c r="H1415" s="136">
        <f t="shared" si="42"/>
        <v>0</v>
      </c>
      <c r="I1415" s="136">
        <f t="shared" si="43"/>
        <v>0</v>
      </c>
      <c r="J1415" s="73"/>
    </row>
    <row r="1416" spans="1:10" s="5" customFormat="1" hidden="1">
      <c r="A1416" s="1069"/>
      <c r="B1416" s="244"/>
      <c r="C1416" s="430"/>
      <c r="D1416" s="430"/>
      <c r="E1416" s="430"/>
      <c r="F1416" s="55"/>
      <c r="G1416" s="55"/>
      <c r="H1416" s="136">
        <f t="shared" si="42"/>
        <v>0</v>
      </c>
      <c r="I1416" s="136">
        <f t="shared" si="43"/>
        <v>0</v>
      </c>
      <c r="J1416" s="73"/>
    </row>
    <row r="1417" spans="1:10" s="5" customFormat="1" hidden="1">
      <c r="A1417" s="1069"/>
      <c r="B1417" s="244"/>
      <c r="C1417" s="430"/>
      <c r="D1417" s="430"/>
      <c r="E1417" s="430"/>
      <c r="F1417" s="55"/>
      <c r="G1417" s="55"/>
      <c r="H1417" s="136">
        <f t="shared" ref="H1417:H1480" si="44">E1417+D1417-C1417</f>
        <v>0</v>
      </c>
      <c r="I1417" s="136">
        <f t="shared" ref="I1417:I1480" si="45">SUM(C1417:E1417)</f>
        <v>0</v>
      </c>
      <c r="J1417" s="73"/>
    </row>
    <row r="1418" spans="1:10" s="5" customFormat="1" hidden="1">
      <c r="A1418" s="1069"/>
      <c r="B1418" s="244"/>
      <c r="C1418" s="430"/>
      <c r="D1418" s="430"/>
      <c r="E1418" s="430"/>
      <c r="F1418" s="55"/>
      <c r="G1418" s="55"/>
      <c r="H1418" s="136">
        <f t="shared" si="44"/>
        <v>0</v>
      </c>
      <c r="I1418" s="136">
        <f t="shared" si="45"/>
        <v>0</v>
      </c>
      <c r="J1418" s="73"/>
    </row>
    <row r="1419" spans="1:10" s="5" customFormat="1" hidden="1">
      <c r="A1419" s="1069"/>
      <c r="B1419" s="244"/>
      <c r="C1419" s="383"/>
      <c r="D1419" s="383"/>
      <c r="E1419" s="430"/>
      <c r="F1419" s="55"/>
      <c r="G1419" s="55"/>
      <c r="H1419" s="136">
        <f t="shared" si="44"/>
        <v>0</v>
      </c>
      <c r="I1419" s="136">
        <f t="shared" si="45"/>
        <v>0</v>
      </c>
      <c r="J1419" s="73"/>
    </row>
    <row r="1420" spans="1:10" s="5" customFormat="1" hidden="1">
      <c r="A1420" s="1069"/>
      <c r="B1420" s="244"/>
      <c r="C1420" s="383"/>
      <c r="D1420" s="383"/>
      <c r="E1420" s="430"/>
      <c r="F1420" s="55"/>
      <c r="G1420" s="55"/>
      <c r="H1420" s="136">
        <f t="shared" si="44"/>
        <v>0</v>
      </c>
      <c r="I1420" s="136">
        <f t="shared" si="45"/>
        <v>0</v>
      </c>
      <c r="J1420" s="73"/>
    </row>
    <row r="1421" spans="1:10" s="5" customFormat="1" hidden="1">
      <c r="A1421" s="1069"/>
      <c r="B1421" s="244"/>
      <c r="C1421" s="383"/>
      <c r="D1421" s="383"/>
      <c r="E1421" s="430"/>
      <c r="F1421" s="55"/>
      <c r="G1421" s="55"/>
      <c r="H1421" s="136">
        <f t="shared" si="44"/>
        <v>0</v>
      </c>
      <c r="I1421" s="136">
        <f t="shared" si="45"/>
        <v>0</v>
      </c>
      <c r="J1421" s="73"/>
    </row>
    <row r="1422" spans="1:10" s="5" customFormat="1" hidden="1">
      <c r="A1422" s="1069"/>
      <c r="B1422" s="244"/>
      <c r="C1422" s="430"/>
      <c r="D1422" s="430"/>
      <c r="E1422" s="430"/>
      <c r="F1422" s="55"/>
      <c r="G1422" s="55"/>
      <c r="H1422" s="136">
        <f t="shared" si="44"/>
        <v>0</v>
      </c>
      <c r="I1422" s="136">
        <f t="shared" si="45"/>
        <v>0</v>
      </c>
      <c r="J1422" s="73"/>
    </row>
    <row r="1423" spans="1:10" s="5" customFormat="1" hidden="1">
      <c r="A1423" s="1069"/>
      <c r="B1423" s="244"/>
      <c r="C1423" s="383"/>
      <c r="D1423" s="383"/>
      <c r="E1423" s="430"/>
      <c r="F1423" s="55"/>
      <c r="G1423" s="55"/>
      <c r="H1423" s="136">
        <f t="shared" si="44"/>
        <v>0</v>
      </c>
      <c r="I1423" s="136">
        <f t="shared" si="45"/>
        <v>0</v>
      </c>
      <c r="J1423" s="73"/>
    </row>
    <row r="1424" spans="1:10" s="5" customFormat="1" hidden="1">
      <c r="A1424" s="1069"/>
      <c r="B1424" s="244"/>
      <c r="C1424" s="383"/>
      <c r="D1424" s="383"/>
      <c r="E1424" s="430"/>
      <c r="F1424" s="55"/>
      <c r="G1424" s="55"/>
      <c r="H1424" s="136">
        <f t="shared" si="44"/>
        <v>0</v>
      </c>
      <c r="I1424" s="136">
        <f t="shared" si="45"/>
        <v>0</v>
      </c>
      <c r="J1424" s="73"/>
    </row>
    <row r="1425" spans="1:10" s="5" customFormat="1" hidden="1">
      <c r="A1425" s="1069"/>
      <c r="B1425" s="244"/>
      <c r="C1425" s="383"/>
      <c r="D1425" s="383"/>
      <c r="E1425" s="430"/>
      <c r="F1425" s="55"/>
      <c r="G1425" s="55"/>
      <c r="H1425" s="136">
        <f t="shared" si="44"/>
        <v>0</v>
      </c>
      <c r="I1425" s="136">
        <f t="shared" si="45"/>
        <v>0</v>
      </c>
      <c r="J1425" s="73"/>
    </row>
    <row r="1426" spans="1:10" s="5" customFormat="1" hidden="1">
      <c r="A1426" s="1069"/>
      <c r="B1426" s="244"/>
      <c r="C1426" s="383"/>
      <c r="D1426" s="383"/>
      <c r="E1426" s="430"/>
      <c r="F1426" s="55"/>
      <c r="G1426" s="55"/>
      <c r="H1426" s="136">
        <f t="shared" si="44"/>
        <v>0</v>
      </c>
      <c r="I1426" s="136">
        <f t="shared" si="45"/>
        <v>0</v>
      </c>
      <c r="J1426" s="73"/>
    </row>
    <row r="1427" spans="1:10" s="5" customFormat="1" hidden="1">
      <c r="A1427" s="1069"/>
      <c r="B1427" s="244"/>
      <c r="C1427" s="383"/>
      <c r="D1427" s="430"/>
      <c r="E1427" s="430"/>
      <c r="F1427" s="55"/>
      <c r="G1427" s="55"/>
      <c r="H1427" s="136">
        <f t="shared" si="44"/>
        <v>0</v>
      </c>
      <c r="I1427" s="136">
        <f t="shared" si="45"/>
        <v>0</v>
      </c>
      <c r="J1427" s="73"/>
    </row>
    <row r="1428" spans="1:10" s="5" customFormat="1" hidden="1">
      <c r="A1428" s="1069"/>
      <c r="B1428" s="244"/>
      <c r="C1428" s="383"/>
      <c r="D1428" s="383"/>
      <c r="E1428" s="433"/>
      <c r="F1428" s="55"/>
      <c r="G1428" s="55"/>
      <c r="H1428" s="136">
        <f t="shared" si="44"/>
        <v>0</v>
      </c>
      <c r="I1428" s="136">
        <f t="shared" si="45"/>
        <v>0</v>
      </c>
      <c r="J1428" s="73"/>
    </row>
    <row r="1429" spans="1:10" s="5" customFormat="1" hidden="1">
      <c r="A1429" s="1069"/>
      <c r="B1429" s="246"/>
      <c r="C1429" s="435"/>
      <c r="D1429" s="435"/>
      <c r="E1429" s="435"/>
      <c r="F1429" s="55"/>
      <c r="G1429" s="55"/>
      <c r="H1429" s="136">
        <f t="shared" si="44"/>
        <v>0</v>
      </c>
      <c r="I1429" s="136">
        <f t="shared" si="45"/>
        <v>0</v>
      </c>
      <c r="J1429" s="73"/>
    </row>
    <row r="1430" spans="1:10" s="5" customFormat="1" hidden="1">
      <c r="A1430" s="1069"/>
      <c r="B1430" s="246"/>
      <c r="C1430" s="435"/>
      <c r="D1430" s="435"/>
      <c r="E1430" s="435"/>
      <c r="F1430" s="55"/>
      <c r="G1430" s="55"/>
      <c r="H1430" s="136">
        <f t="shared" si="44"/>
        <v>0</v>
      </c>
      <c r="I1430" s="136">
        <f t="shared" si="45"/>
        <v>0</v>
      </c>
      <c r="J1430" s="73"/>
    </row>
    <row r="1431" spans="1:10" s="5" customFormat="1" hidden="1">
      <c r="A1431" s="1069"/>
      <c r="B1431" s="246"/>
      <c r="C1431" s="435"/>
      <c r="D1431" s="435"/>
      <c r="E1431" s="435"/>
      <c r="F1431" s="55"/>
      <c r="G1431" s="55"/>
      <c r="H1431" s="136">
        <f t="shared" si="44"/>
        <v>0</v>
      </c>
      <c r="I1431" s="136">
        <f t="shared" si="45"/>
        <v>0</v>
      </c>
      <c r="J1431" s="73"/>
    </row>
    <row r="1432" spans="1:10" s="5" customFormat="1" hidden="1">
      <c r="A1432" s="1069"/>
      <c r="B1432" s="246"/>
      <c r="C1432" s="435"/>
      <c r="D1432" s="435"/>
      <c r="E1432" s="435"/>
      <c r="F1432" s="55"/>
      <c r="G1432" s="55"/>
      <c r="H1432" s="136">
        <f t="shared" si="44"/>
        <v>0</v>
      </c>
      <c r="I1432" s="136">
        <f t="shared" si="45"/>
        <v>0</v>
      </c>
      <c r="J1432" s="73"/>
    </row>
    <row r="1433" spans="1:10" s="5" customFormat="1" hidden="1">
      <c r="A1433" s="1069"/>
      <c r="B1433" s="246"/>
      <c r="C1433" s="435"/>
      <c r="D1433" s="435"/>
      <c r="E1433" s="435"/>
      <c r="F1433" s="55"/>
      <c r="G1433" s="55"/>
      <c r="H1433" s="136">
        <f t="shared" si="44"/>
        <v>0</v>
      </c>
      <c r="I1433" s="136">
        <f t="shared" si="45"/>
        <v>0</v>
      </c>
      <c r="J1433" s="73"/>
    </row>
    <row r="1434" spans="1:10" s="5" customFormat="1" hidden="1">
      <c r="A1434" s="1069"/>
      <c r="B1434" s="246"/>
      <c r="C1434" s="435"/>
      <c r="D1434" s="435"/>
      <c r="E1434" s="435"/>
      <c r="F1434" s="55"/>
      <c r="G1434" s="55"/>
      <c r="H1434" s="136">
        <f t="shared" si="44"/>
        <v>0</v>
      </c>
      <c r="I1434" s="136">
        <f t="shared" si="45"/>
        <v>0</v>
      </c>
      <c r="J1434" s="73"/>
    </row>
    <row r="1435" spans="1:10" s="5" customFormat="1" hidden="1">
      <c r="A1435" s="1069"/>
      <c r="B1435" s="246"/>
      <c r="C1435" s="434"/>
      <c r="D1435" s="434"/>
      <c r="E1435" s="435"/>
      <c r="F1435" s="55"/>
      <c r="G1435" s="55"/>
      <c r="H1435" s="136">
        <f t="shared" si="44"/>
        <v>0</v>
      </c>
      <c r="I1435" s="136">
        <f t="shared" si="45"/>
        <v>0</v>
      </c>
      <c r="J1435" s="73"/>
    </row>
    <row r="1436" spans="1:10" s="5" customFormat="1" hidden="1">
      <c r="A1436" s="1069"/>
      <c r="B1436" s="246"/>
      <c r="C1436" s="434"/>
      <c r="D1436" s="434"/>
      <c r="E1436" s="435"/>
      <c r="F1436" s="55"/>
      <c r="G1436" s="55"/>
      <c r="H1436" s="136">
        <f t="shared" si="44"/>
        <v>0</v>
      </c>
      <c r="I1436" s="136">
        <f t="shared" si="45"/>
        <v>0</v>
      </c>
      <c r="J1436" s="73"/>
    </row>
    <row r="1437" spans="1:10" s="5" customFormat="1" hidden="1">
      <c r="A1437" s="1069"/>
      <c r="B1437" s="246"/>
      <c r="C1437" s="434"/>
      <c r="D1437" s="434"/>
      <c r="E1437" s="435"/>
      <c r="F1437" s="55"/>
      <c r="G1437" s="55"/>
      <c r="H1437" s="136">
        <f t="shared" si="44"/>
        <v>0</v>
      </c>
      <c r="I1437" s="136">
        <f t="shared" si="45"/>
        <v>0</v>
      </c>
      <c r="J1437" s="73"/>
    </row>
    <row r="1438" spans="1:10" s="5" customFormat="1" hidden="1">
      <c r="A1438" s="1069"/>
      <c r="B1438" s="244"/>
      <c r="C1438" s="434"/>
      <c r="D1438" s="434"/>
      <c r="E1438" s="436"/>
      <c r="F1438" s="55"/>
      <c r="G1438" s="55"/>
      <c r="H1438" s="136">
        <f t="shared" si="44"/>
        <v>0</v>
      </c>
      <c r="I1438" s="136">
        <f t="shared" si="45"/>
        <v>0</v>
      </c>
      <c r="J1438" s="73"/>
    </row>
    <row r="1439" spans="1:10" s="5" customFormat="1" hidden="1">
      <c r="A1439" s="1069"/>
      <c r="B1439" s="244"/>
      <c r="C1439" s="434"/>
      <c r="D1439" s="434"/>
      <c r="E1439" s="436"/>
      <c r="F1439" s="55"/>
      <c r="G1439" s="55"/>
      <c r="H1439" s="136">
        <f t="shared" si="44"/>
        <v>0</v>
      </c>
      <c r="I1439" s="136">
        <f t="shared" si="45"/>
        <v>0</v>
      </c>
      <c r="J1439" s="73"/>
    </row>
    <row r="1440" spans="1:10" s="5" customFormat="1" hidden="1">
      <c r="A1440" s="1069"/>
      <c r="B1440" s="244"/>
      <c r="C1440" s="434"/>
      <c r="D1440" s="434"/>
      <c r="E1440" s="436"/>
      <c r="F1440" s="55"/>
      <c r="G1440" s="55"/>
      <c r="H1440" s="136">
        <f t="shared" si="44"/>
        <v>0</v>
      </c>
      <c r="I1440" s="136">
        <f t="shared" si="45"/>
        <v>0</v>
      </c>
      <c r="J1440" s="73"/>
    </row>
    <row r="1441" spans="1:10" s="5" customFormat="1" hidden="1">
      <c r="A1441" s="1069"/>
      <c r="B1441" s="244"/>
      <c r="C1441" s="434"/>
      <c r="D1441" s="434"/>
      <c r="E1441" s="436"/>
      <c r="F1441" s="55"/>
      <c r="G1441" s="55"/>
      <c r="H1441" s="136">
        <f t="shared" si="44"/>
        <v>0</v>
      </c>
      <c r="I1441" s="136">
        <f t="shared" si="45"/>
        <v>0</v>
      </c>
      <c r="J1441" s="73"/>
    </row>
    <row r="1442" spans="1:10" s="5" customFormat="1" hidden="1">
      <c r="A1442" s="1069"/>
      <c r="B1442" s="244"/>
      <c r="C1442" s="434"/>
      <c r="D1442" s="434"/>
      <c r="E1442" s="436"/>
      <c r="F1442" s="55"/>
      <c r="G1442" s="55"/>
      <c r="H1442" s="136">
        <f t="shared" si="44"/>
        <v>0</v>
      </c>
      <c r="I1442" s="136">
        <f t="shared" si="45"/>
        <v>0</v>
      </c>
      <c r="J1442" s="73"/>
    </row>
    <row r="1443" spans="1:10" s="5" customFormat="1" hidden="1">
      <c r="A1443" s="1069"/>
      <c r="B1443" s="244"/>
      <c r="C1443" s="434"/>
      <c r="D1443" s="434"/>
      <c r="E1443" s="436"/>
      <c r="F1443" s="55"/>
      <c r="G1443" s="55"/>
      <c r="H1443" s="136">
        <f t="shared" si="44"/>
        <v>0</v>
      </c>
      <c r="I1443" s="136">
        <f t="shared" si="45"/>
        <v>0</v>
      </c>
      <c r="J1443" s="73"/>
    </row>
    <row r="1444" spans="1:10" s="5" customFormat="1" hidden="1">
      <c r="A1444" s="1069"/>
      <c r="B1444" s="244"/>
      <c r="C1444" s="434"/>
      <c r="D1444" s="434"/>
      <c r="E1444" s="436"/>
      <c r="F1444" s="55"/>
      <c r="G1444" s="55"/>
      <c r="H1444" s="136">
        <f t="shared" si="44"/>
        <v>0</v>
      </c>
      <c r="I1444" s="136">
        <f t="shared" si="45"/>
        <v>0</v>
      </c>
      <c r="J1444" s="73"/>
    </row>
    <row r="1445" spans="1:10" s="5" customFormat="1" hidden="1">
      <c r="A1445" s="1069"/>
      <c r="B1445" s="244"/>
      <c r="C1445" s="434"/>
      <c r="D1445" s="434"/>
      <c r="E1445" s="436"/>
      <c r="F1445" s="55"/>
      <c r="G1445" s="55"/>
      <c r="H1445" s="136">
        <f t="shared" si="44"/>
        <v>0</v>
      </c>
      <c r="I1445" s="136">
        <f t="shared" si="45"/>
        <v>0</v>
      </c>
      <c r="J1445" s="73"/>
    </row>
    <row r="1446" spans="1:10" s="5" customFormat="1" hidden="1">
      <c r="A1446" s="1069"/>
      <c r="B1446" s="244"/>
      <c r="C1446" s="434"/>
      <c r="D1446" s="434"/>
      <c r="E1446" s="436"/>
      <c r="F1446" s="55"/>
      <c r="G1446" s="55"/>
      <c r="H1446" s="136">
        <f t="shared" si="44"/>
        <v>0</v>
      </c>
      <c r="I1446" s="136">
        <f t="shared" si="45"/>
        <v>0</v>
      </c>
      <c r="J1446" s="73"/>
    </row>
    <row r="1447" spans="1:10" s="5" customFormat="1" hidden="1">
      <c r="A1447" s="1069"/>
      <c r="B1447" s="244"/>
      <c r="C1447" s="383"/>
      <c r="D1447" s="430"/>
      <c r="E1447" s="430"/>
      <c r="F1447" s="55"/>
      <c r="G1447" s="55"/>
      <c r="H1447" s="136">
        <f t="shared" si="44"/>
        <v>0</v>
      </c>
      <c r="I1447" s="136">
        <f t="shared" si="45"/>
        <v>0</v>
      </c>
      <c r="J1447" s="73"/>
    </row>
    <row r="1448" spans="1:10" s="5" customFormat="1" hidden="1">
      <c r="A1448" s="1069"/>
      <c r="B1448" s="244"/>
      <c r="C1448" s="434"/>
      <c r="D1448" s="434"/>
      <c r="E1448" s="436"/>
      <c r="F1448" s="55"/>
      <c r="G1448" s="55"/>
      <c r="H1448" s="136">
        <f t="shared" si="44"/>
        <v>0</v>
      </c>
      <c r="I1448" s="136">
        <f t="shared" si="45"/>
        <v>0</v>
      </c>
      <c r="J1448" s="73"/>
    </row>
    <row r="1449" spans="1:10" s="5" customFormat="1" hidden="1">
      <c r="A1449" s="1069"/>
      <c r="B1449" s="244"/>
      <c r="C1449" s="434"/>
      <c r="D1449" s="434"/>
      <c r="E1449" s="436"/>
      <c r="F1449" s="55"/>
      <c r="G1449" s="55"/>
      <c r="H1449" s="136">
        <f t="shared" si="44"/>
        <v>0</v>
      </c>
      <c r="I1449" s="136">
        <f t="shared" si="45"/>
        <v>0</v>
      </c>
      <c r="J1449" s="73"/>
    </row>
    <row r="1450" spans="1:10" s="5" customFormat="1" hidden="1">
      <c r="A1450" s="1069"/>
      <c r="B1450" s="244"/>
      <c r="C1450" s="434"/>
      <c r="D1450" s="434"/>
      <c r="E1450" s="436"/>
      <c r="F1450" s="55"/>
      <c r="G1450" s="55"/>
      <c r="H1450" s="136">
        <f t="shared" si="44"/>
        <v>0</v>
      </c>
      <c r="I1450" s="136">
        <f t="shared" si="45"/>
        <v>0</v>
      </c>
      <c r="J1450" s="73"/>
    </row>
    <row r="1451" spans="1:10" s="5" customFormat="1" hidden="1">
      <c r="A1451" s="1069"/>
      <c r="B1451" s="244"/>
      <c r="C1451" s="434"/>
      <c r="D1451" s="434"/>
      <c r="E1451" s="436"/>
      <c r="F1451" s="55"/>
      <c r="G1451" s="55"/>
      <c r="H1451" s="136">
        <f t="shared" si="44"/>
        <v>0</v>
      </c>
      <c r="I1451" s="136">
        <f t="shared" si="45"/>
        <v>0</v>
      </c>
      <c r="J1451" s="73"/>
    </row>
    <row r="1452" spans="1:10" s="5" customFormat="1" hidden="1">
      <c r="A1452" s="1069"/>
      <c r="B1452" s="244"/>
      <c r="C1452" s="434"/>
      <c r="D1452" s="434"/>
      <c r="E1452" s="436"/>
      <c r="F1452" s="55"/>
      <c r="G1452" s="55"/>
      <c r="H1452" s="136">
        <f t="shared" si="44"/>
        <v>0</v>
      </c>
      <c r="I1452" s="136">
        <f t="shared" si="45"/>
        <v>0</v>
      </c>
      <c r="J1452" s="73"/>
    </row>
    <row r="1453" spans="1:10" s="5" customFormat="1" hidden="1">
      <c r="A1453" s="1069"/>
      <c r="B1453" s="244"/>
      <c r="C1453" s="434"/>
      <c r="D1453" s="434"/>
      <c r="E1453" s="436"/>
      <c r="F1453" s="55"/>
      <c r="G1453" s="55"/>
      <c r="H1453" s="136">
        <f t="shared" si="44"/>
        <v>0</v>
      </c>
      <c r="I1453" s="136">
        <f t="shared" si="45"/>
        <v>0</v>
      </c>
      <c r="J1453" s="73"/>
    </row>
    <row r="1454" spans="1:10" s="5" customFormat="1" hidden="1">
      <c r="A1454" s="1069"/>
      <c r="B1454" s="244"/>
      <c r="C1454" s="434"/>
      <c r="D1454" s="434"/>
      <c r="E1454" s="436"/>
      <c r="F1454" s="55"/>
      <c r="G1454" s="55"/>
      <c r="H1454" s="136">
        <f t="shared" si="44"/>
        <v>0</v>
      </c>
      <c r="I1454" s="136">
        <f t="shared" si="45"/>
        <v>0</v>
      </c>
      <c r="J1454" s="73"/>
    </row>
    <row r="1455" spans="1:10" s="5" customFormat="1" hidden="1">
      <c r="A1455" s="1069"/>
      <c r="B1455" s="244"/>
      <c r="C1455" s="434"/>
      <c r="D1455" s="434"/>
      <c r="E1455" s="436"/>
      <c r="F1455" s="55"/>
      <c r="G1455" s="55"/>
      <c r="H1455" s="136">
        <f t="shared" si="44"/>
        <v>0</v>
      </c>
      <c r="I1455" s="136">
        <f t="shared" si="45"/>
        <v>0</v>
      </c>
      <c r="J1455" s="73"/>
    </row>
    <row r="1456" spans="1:10" s="5" customFormat="1" hidden="1">
      <c r="A1456" s="1069"/>
      <c r="B1456" s="244"/>
      <c r="C1456" s="434"/>
      <c r="D1456" s="434"/>
      <c r="E1456" s="436"/>
      <c r="F1456" s="55"/>
      <c r="G1456" s="55"/>
      <c r="H1456" s="136">
        <f t="shared" si="44"/>
        <v>0</v>
      </c>
      <c r="I1456" s="136">
        <f t="shared" si="45"/>
        <v>0</v>
      </c>
      <c r="J1456" s="73"/>
    </row>
    <row r="1457" spans="1:10" s="5" customFormat="1" hidden="1">
      <c r="A1457" s="1069"/>
      <c r="B1457" s="244"/>
      <c r="C1457" s="434"/>
      <c r="D1457" s="434"/>
      <c r="E1457" s="436"/>
      <c r="F1457" s="55"/>
      <c r="G1457" s="55"/>
      <c r="H1457" s="136">
        <f t="shared" si="44"/>
        <v>0</v>
      </c>
      <c r="I1457" s="136">
        <f t="shared" si="45"/>
        <v>0</v>
      </c>
      <c r="J1457" s="73"/>
    </row>
    <row r="1458" spans="1:10" s="5" customFormat="1" hidden="1">
      <c r="A1458" s="1069"/>
      <c r="B1458" s="244"/>
      <c r="C1458" s="434"/>
      <c r="D1458" s="434"/>
      <c r="E1458" s="436"/>
      <c r="F1458" s="55"/>
      <c r="G1458" s="55"/>
      <c r="H1458" s="136">
        <f t="shared" si="44"/>
        <v>0</v>
      </c>
      <c r="I1458" s="136">
        <f t="shared" si="45"/>
        <v>0</v>
      </c>
      <c r="J1458" s="73"/>
    </row>
    <row r="1459" spans="1:10" s="5" customFormat="1" hidden="1">
      <c r="A1459" s="1069"/>
      <c r="B1459" s="244"/>
      <c r="C1459" s="434"/>
      <c r="D1459" s="434"/>
      <c r="E1459" s="436"/>
      <c r="F1459" s="55"/>
      <c r="G1459" s="55"/>
      <c r="H1459" s="136">
        <f t="shared" si="44"/>
        <v>0</v>
      </c>
      <c r="I1459" s="136">
        <f t="shared" si="45"/>
        <v>0</v>
      </c>
      <c r="J1459" s="73"/>
    </row>
    <row r="1460" spans="1:10" ht="131.25">
      <c r="A1460" s="1068"/>
      <c r="B1460" s="310" t="s">
        <v>1681</v>
      </c>
      <c r="C1460" s="455">
        <v>26290</v>
      </c>
      <c r="D1460" s="471"/>
      <c r="E1460" s="471">
        <v>26290</v>
      </c>
      <c r="F1460" s="55"/>
      <c r="G1460" s="55"/>
      <c r="H1460" s="459">
        <f t="shared" si="44"/>
        <v>0</v>
      </c>
      <c r="I1460" s="459">
        <f t="shared" si="45"/>
        <v>52580</v>
      </c>
      <c r="J1460" s="460"/>
    </row>
    <row r="1461" spans="1:10">
      <c r="A1461" s="1068"/>
      <c r="B1461" s="461" t="s">
        <v>253</v>
      </c>
      <c r="C1461" s="470">
        <f>SUM(C1414:C1460)</f>
        <v>70290</v>
      </c>
      <c r="D1461" s="470">
        <f>SUM(D1414:D1460)</f>
        <v>0</v>
      </c>
      <c r="E1461" s="470">
        <f>SUM(E1414:E1460)</f>
        <v>70290</v>
      </c>
      <c r="F1461" s="75">
        <f>SUM(F1414:F1460)</f>
        <v>0</v>
      </c>
      <c r="G1461" s="75">
        <f>SUM(G1414:G1460)</f>
        <v>0</v>
      </c>
      <c r="H1461" s="459">
        <f t="shared" si="44"/>
        <v>0</v>
      </c>
      <c r="I1461" s="459">
        <f t="shared" si="45"/>
        <v>140580</v>
      </c>
      <c r="J1461" s="460"/>
    </row>
    <row r="1462" spans="1:10" ht="93.75">
      <c r="A1462" s="1068" t="s">
        <v>1055</v>
      </c>
      <c r="B1462" s="310" t="s">
        <v>1819</v>
      </c>
      <c r="C1462" s="452">
        <v>13100</v>
      </c>
      <c r="D1462" s="452"/>
      <c r="E1462" s="452">
        <v>13100</v>
      </c>
      <c r="F1462" s="138"/>
      <c r="G1462" s="138"/>
      <c r="H1462" s="459">
        <f t="shared" si="44"/>
        <v>0</v>
      </c>
      <c r="I1462" s="459">
        <f t="shared" si="45"/>
        <v>26200</v>
      </c>
      <c r="J1462" s="460"/>
    </row>
    <row r="1463" spans="1:10" ht="131.25">
      <c r="A1463" s="1068"/>
      <c r="B1463" s="310" t="s">
        <v>1681</v>
      </c>
      <c r="C1463" s="453">
        <v>13150</v>
      </c>
      <c r="D1463" s="454"/>
      <c r="E1463" s="454">
        <v>13150</v>
      </c>
      <c r="F1463" s="55"/>
      <c r="G1463" s="55"/>
      <c r="H1463" s="459">
        <f t="shared" si="44"/>
        <v>0</v>
      </c>
      <c r="I1463" s="459">
        <f t="shared" si="45"/>
        <v>26300</v>
      </c>
      <c r="J1463" s="460"/>
    </row>
    <row r="1464" spans="1:10" s="5" customFormat="1" hidden="1">
      <c r="A1464" s="1069"/>
      <c r="B1464" s="244"/>
      <c r="C1464" s="430"/>
      <c r="D1464" s="430"/>
      <c r="E1464" s="430"/>
      <c r="F1464" s="55"/>
      <c r="G1464" s="55"/>
      <c r="H1464" s="136">
        <f t="shared" si="44"/>
        <v>0</v>
      </c>
      <c r="I1464" s="136">
        <f t="shared" si="45"/>
        <v>0</v>
      </c>
      <c r="J1464" s="73"/>
    </row>
    <row r="1465" spans="1:10" s="5" customFormat="1" hidden="1">
      <c r="A1465" s="1069"/>
      <c r="B1465" s="244"/>
      <c r="C1465" s="430"/>
      <c r="D1465" s="430"/>
      <c r="E1465" s="430"/>
      <c r="F1465" s="55"/>
      <c r="G1465" s="55"/>
      <c r="H1465" s="136">
        <f t="shared" si="44"/>
        <v>0</v>
      </c>
      <c r="I1465" s="136">
        <f t="shared" si="45"/>
        <v>0</v>
      </c>
      <c r="J1465" s="73"/>
    </row>
    <row r="1466" spans="1:10" s="5" customFormat="1" hidden="1">
      <c r="A1466" s="1069"/>
      <c r="B1466" s="244"/>
      <c r="C1466" s="430"/>
      <c r="D1466" s="430"/>
      <c r="E1466" s="430"/>
      <c r="F1466" s="55"/>
      <c r="G1466" s="55"/>
      <c r="H1466" s="136">
        <f t="shared" si="44"/>
        <v>0</v>
      </c>
      <c r="I1466" s="136">
        <f t="shared" si="45"/>
        <v>0</v>
      </c>
      <c r="J1466" s="73"/>
    </row>
    <row r="1467" spans="1:10" s="5" customFormat="1" hidden="1">
      <c r="A1467" s="1069"/>
      <c r="B1467" s="244"/>
      <c r="C1467" s="383"/>
      <c r="D1467" s="383"/>
      <c r="E1467" s="430"/>
      <c r="F1467" s="55"/>
      <c r="G1467" s="55"/>
      <c r="H1467" s="136">
        <f t="shared" si="44"/>
        <v>0</v>
      </c>
      <c r="I1467" s="136">
        <f t="shared" si="45"/>
        <v>0</v>
      </c>
      <c r="J1467" s="73"/>
    </row>
    <row r="1468" spans="1:10" s="5" customFormat="1" hidden="1">
      <c r="A1468" s="1069"/>
      <c r="B1468" s="244"/>
      <c r="C1468" s="383"/>
      <c r="D1468" s="383"/>
      <c r="E1468" s="430"/>
      <c r="F1468" s="55"/>
      <c r="G1468" s="55"/>
      <c r="H1468" s="136">
        <f t="shared" si="44"/>
        <v>0</v>
      </c>
      <c r="I1468" s="136">
        <f t="shared" si="45"/>
        <v>0</v>
      </c>
      <c r="J1468" s="73"/>
    </row>
    <row r="1469" spans="1:10" s="5" customFormat="1" hidden="1">
      <c r="A1469" s="1069"/>
      <c r="B1469" s="244"/>
      <c r="C1469" s="383"/>
      <c r="D1469" s="383"/>
      <c r="E1469" s="430"/>
      <c r="F1469" s="55"/>
      <c r="G1469" s="55"/>
      <c r="H1469" s="136">
        <f t="shared" si="44"/>
        <v>0</v>
      </c>
      <c r="I1469" s="136">
        <f t="shared" si="45"/>
        <v>0</v>
      </c>
      <c r="J1469" s="73"/>
    </row>
    <row r="1470" spans="1:10" s="5" customFormat="1" hidden="1">
      <c r="A1470" s="1069"/>
      <c r="B1470" s="244"/>
      <c r="C1470" s="430"/>
      <c r="D1470" s="430"/>
      <c r="E1470" s="430"/>
      <c r="F1470" s="55"/>
      <c r="G1470" s="55"/>
      <c r="H1470" s="136">
        <f t="shared" si="44"/>
        <v>0</v>
      </c>
      <c r="I1470" s="136">
        <f t="shared" si="45"/>
        <v>0</v>
      </c>
      <c r="J1470" s="73"/>
    </row>
    <row r="1471" spans="1:10" s="5" customFormat="1" hidden="1">
      <c r="A1471" s="1069"/>
      <c r="B1471" s="244"/>
      <c r="C1471" s="383"/>
      <c r="D1471" s="383"/>
      <c r="E1471" s="430"/>
      <c r="F1471" s="55"/>
      <c r="G1471" s="55"/>
      <c r="H1471" s="136">
        <f t="shared" si="44"/>
        <v>0</v>
      </c>
      <c r="I1471" s="136">
        <f t="shared" si="45"/>
        <v>0</v>
      </c>
      <c r="J1471" s="73"/>
    </row>
    <row r="1472" spans="1:10" s="5" customFormat="1" hidden="1">
      <c r="A1472" s="1069"/>
      <c r="B1472" s="244"/>
      <c r="C1472" s="383"/>
      <c r="D1472" s="383"/>
      <c r="E1472" s="430"/>
      <c r="F1472" s="55"/>
      <c r="G1472" s="55"/>
      <c r="H1472" s="136">
        <f t="shared" si="44"/>
        <v>0</v>
      </c>
      <c r="I1472" s="136">
        <f t="shared" si="45"/>
        <v>0</v>
      </c>
      <c r="J1472" s="73"/>
    </row>
    <row r="1473" spans="1:10" s="5" customFormat="1" hidden="1">
      <c r="A1473" s="1069"/>
      <c r="B1473" s="244"/>
      <c r="C1473" s="383"/>
      <c r="D1473" s="383"/>
      <c r="E1473" s="430"/>
      <c r="F1473" s="55"/>
      <c r="G1473" s="55"/>
      <c r="H1473" s="136">
        <f t="shared" si="44"/>
        <v>0</v>
      </c>
      <c r="I1473" s="136">
        <f t="shared" si="45"/>
        <v>0</v>
      </c>
      <c r="J1473" s="73"/>
    </row>
    <row r="1474" spans="1:10" s="5" customFormat="1" hidden="1">
      <c r="A1474" s="1069"/>
      <c r="B1474" s="244"/>
      <c r="C1474" s="383"/>
      <c r="D1474" s="383"/>
      <c r="E1474" s="430"/>
      <c r="F1474" s="55"/>
      <c r="G1474" s="55"/>
      <c r="H1474" s="136">
        <f t="shared" si="44"/>
        <v>0</v>
      </c>
      <c r="I1474" s="136">
        <f t="shared" si="45"/>
        <v>0</v>
      </c>
      <c r="J1474" s="73"/>
    </row>
    <row r="1475" spans="1:10" s="5" customFormat="1" hidden="1">
      <c r="A1475" s="1069"/>
      <c r="B1475" s="244"/>
      <c r="C1475" s="383"/>
      <c r="D1475" s="430"/>
      <c r="E1475" s="430"/>
      <c r="F1475" s="55"/>
      <c r="G1475" s="55"/>
      <c r="H1475" s="136">
        <f t="shared" si="44"/>
        <v>0</v>
      </c>
      <c r="I1475" s="136">
        <f t="shared" si="45"/>
        <v>0</v>
      </c>
      <c r="J1475" s="73"/>
    </row>
    <row r="1476" spans="1:10" s="5" customFormat="1" hidden="1">
      <c r="A1476" s="1069"/>
      <c r="B1476" s="244"/>
      <c r="C1476" s="383"/>
      <c r="D1476" s="383"/>
      <c r="E1476" s="433"/>
      <c r="F1476" s="55"/>
      <c r="G1476" s="55"/>
      <c r="H1476" s="136">
        <f t="shared" si="44"/>
        <v>0</v>
      </c>
      <c r="I1476" s="136">
        <f t="shared" si="45"/>
        <v>0</v>
      </c>
      <c r="J1476" s="73"/>
    </row>
    <row r="1477" spans="1:10" s="5" customFormat="1" hidden="1">
      <c r="A1477" s="1069"/>
      <c r="B1477" s="246"/>
      <c r="C1477" s="435"/>
      <c r="D1477" s="435"/>
      <c r="E1477" s="435"/>
      <c r="F1477" s="55"/>
      <c r="G1477" s="55"/>
      <c r="H1477" s="136">
        <f t="shared" si="44"/>
        <v>0</v>
      </c>
      <c r="I1477" s="136">
        <f t="shared" si="45"/>
        <v>0</v>
      </c>
      <c r="J1477" s="73"/>
    </row>
    <row r="1478" spans="1:10" s="5" customFormat="1" hidden="1">
      <c r="A1478" s="1069"/>
      <c r="B1478" s="246"/>
      <c r="C1478" s="435"/>
      <c r="D1478" s="435"/>
      <c r="E1478" s="435"/>
      <c r="F1478" s="55"/>
      <c r="G1478" s="55"/>
      <c r="H1478" s="136">
        <f t="shared" si="44"/>
        <v>0</v>
      </c>
      <c r="I1478" s="136">
        <f t="shared" si="45"/>
        <v>0</v>
      </c>
      <c r="J1478" s="73"/>
    </row>
    <row r="1479" spans="1:10" s="5" customFormat="1" hidden="1">
      <c r="A1479" s="1069"/>
      <c r="B1479" s="246"/>
      <c r="C1479" s="435"/>
      <c r="D1479" s="435"/>
      <c r="E1479" s="435"/>
      <c r="F1479" s="55"/>
      <c r="G1479" s="55"/>
      <c r="H1479" s="136">
        <f t="shared" si="44"/>
        <v>0</v>
      </c>
      <c r="I1479" s="136">
        <f t="shared" si="45"/>
        <v>0</v>
      </c>
      <c r="J1479" s="73"/>
    </row>
    <row r="1480" spans="1:10" s="5" customFormat="1" hidden="1">
      <c r="A1480" s="1069"/>
      <c r="B1480" s="246"/>
      <c r="C1480" s="435"/>
      <c r="D1480" s="435"/>
      <c r="E1480" s="435"/>
      <c r="F1480" s="55"/>
      <c r="G1480" s="55"/>
      <c r="H1480" s="136">
        <f t="shared" si="44"/>
        <v>0</v>
      </c>
      <c r="I1480" s="136">
        <f t="shared" si="45"/>
        <v>0</v>
      </c>
      <c r="J1480" s="73"/>
    </row>
    <row r="1481" spans="1:10" s="5" customFormat="1" hidden="1">
      <c r="A1481" s="1069"/>
      <c r="B1481" s="246"/>
      <c r="C1481" s="435"/>
      <c r="D1481" s="435"/>
      <c r="E1481" s="435"/>
      <c r="F1481" s="55"/>
      <c r="G1481" s="55"/>
      <c r="H1481" s="136">
        <f t="shared" ref="H1481:H1544" si="46">E1481+D1481-C1481</f>
        <v>0</v>
      </c>
      <c r="I1481" s="136">
        <f t="shared" ref="I1481:I1544" si="47">SUM(C1481:E1481)</f>
        <v>0</v>
      </c>
      <c r="J1481" s="73"/>
    </row>
    <row r="1482" spans="1:10" s="5" customFormat="1" hidden="1">
      <c r="A1482" s="1069"/>
      <c r="B1482" s="246"/>
      <c r="C1482" s="435"/>
      <c r="D1482" s="435"/>
      <c r="E1482" s="435"/>
      <c r="F1482" s="55"/>
      <c r="G1482" s="55"/>
      <c r="H1482" s="136">
        <f t="shared" si="46"/>
        <v>0</v>
      </c>
      <c r="I1482" s="136">
        <f t="shared" si="47"/>
        <v>0</v>
      </c>
      <c r="J1482" s="73"/>
    </row>
    <row r="1483" spans="1:10" s="5" customFormat="1" hidden="1">
      <c r="A1483" s="1069"/>
      <c r="B1483" s="246"/>
      <c r="C1483" s="434"/>
      <c r="D1483" s="434"/>
      <c r="E1483" s="435"/>
      <c r="F1483" s="55"/>
      <c r="G1483" s="55"/>
      <c r="H1483" s="136">
        <f t="shared" si="46"/>
        <v>0</v>
      </c>
      <c r="I1483" s="136">
        <f t="shared" si="47"/>
        <v>0</v>
      </c>
      <c r="J1483" s="73"/>
    </row>
    <row r="1484" spans="1:10" s="5" customFormat="1" hidden="1">
      <c r="A1484" s="1069"/>
      <c r="B1484" s="246"/>
      <c r="C1484" s="434"/>
      <c r="D1484" s="434"/>
      <c r="E1484" s="435"/>
      <c r="F1484" s="55"/>
      <c r="G1484" s="55"/>
      <c r="H1484" s="136">
        <f t="shared" si="46"/>
        <v>0</v>
      </c>
      <c r="I1484" s="136">
        <f t="shared" si="47"/>
        <v>0</v>
      </c>
      <c r="J1484" s="73"/>
    </row>
    <row r="1485" spans="1:10" s="5" customFormat="1" hidden="1">
      <c r="A1485" s="1069"/>
      <c r="B1485" s="246"/>
      <c r="C1485" s="434"/>
      <c r="D1485" s="434"/>
      <c r="E1485" s="435"/>
      <c r="F1485" s="55"/>
      <c r="G1485" s="55"/>
      <c r="H1485" s="136">
        <f t="shared" si="46"/>
        <v>0</v>
      </c>
      <c r="I1485" s="136">
        <f t="shared" si="47"/>
        <v>0</v>
      </c>
      <c r="J1485" s="73"/>
    </row>
    <row r="1486" spans="1:10" s="5" customFormat="1" hidden="1">
      <c r="A1486" s="1069"/>
      <c r="B1486" s="244"/>
      <c r="C1486" s="434"/>
      <c r="D1486" s="434"/>
      <c r="E1486" s="436"/>
      <c r="F1486" s="55"/>
      <c r="G1486" s="55"/>
      <c r="H1486" s="136">
        <f t="shared" si="46"/>
        <v>0</v>
      </c>
      <c r="I1486" s="136">
        <f t="shared" si="47"/>
        <v>0</v>
      </c>
      <c r="J1486" s="73"/>
    </row>
    <row r="1487" spans="1:10" s="5" customFormat="1" hidden="1">
      <c r="A1487" s="1069"/>
      <c r="B1487" s="244"/>
      <c r="C1487" s="434"/>
      <c r="D1487" s="434"/>
      <c r="E1487" s="436"/>
      <c r="F1487" s="55"/>
      <c r="G1487" s="55"/>
      <c r="H1487" s="136">
        <f t="shared" si="46"/>
        <v>0</v>
      </c>
      <c r="I1487" s="136">
        <f t="shared" si="47"/>
        <v>0</v>
      </c>
      <c r="J1487" s="73"/>
    </row>
    <row r="1488" spans="1:10" s="5" customFormat="1" hidden="1">
      <c r="A1488" s="1069"/>
      <c r="B1488" s="244"/>
      <c r="C1488" s="434"/>
      <c r="D1488" s="434"/>
      <c r="E1488" s="436"/>
      <c r="F1488" s="55"/>
      <c r="G1488" s="55"/>
      <c r="H1488" s="136">
        <f t="shared" si="46"/>
        <v>0</v>
      </c>
      <c r="I1488" s="136">
        <f t="shared" si="47"/>
        <v>0</v>
      </c>
      <c r="J1488" s="73"/>
    </row>
    <row r="1489" spans="1:10" s="5" customFormat="1" hidden="1">
      <c r="A1489" s="1069"/>
      <c r="B1489" s="244"/>
      <c r="C1489" s="434"/>
      <c r="D1489" s="434"/>
      <c r="E1489" s="436"/>
      <c r="F1489" s="55"/>
      <c r="G1489" s="55"/>
      <c r="H1489" s="136">
        <f t="shared" si="46"/>
        <v>0</v>
      </c>
      <c r="I1489" s="136">
        <f t="shared" si="47"/>
        <v>0</v>
      </c>
      <c r="J1489" s="73"/>
    </row>
    <row r="1490" spans="1:10" s="5" customFormat="1" hidden="1">
      <c r="A1490" s="1069"/>
      <c r="B1490" s="244"/>
      <c r="C1490" s="434"/>
      <c r="D1490" s="434"/>
      <c r="E1490" s="436"/>
      <c r="F1490" s="55"/>
      <c r="G1490" s="55"/>
      <c r="H1490" s="136">
        <f t="shared" si="46"/>
        <v>0</v>
      </c>
      <c r="I1490" s="136">
        <f t="shared" si="47"/>
        <v>0</v>
      </c>
      <c r="J1490" s="73"/>
    </row>
    <row r="1491" spans="1:10" s="5" customFormat="1" hidden="1">
      <c r="A1491" s="1069"/>
      <c r="B1491" s="244"/>
      <c r="C1491" s="434"/>
      <c r="D1491" s="434"/>
      <c r="E1491" s="436"/>
      <c r="F1491" s="55"/>
      <c r="G1491" s="55"/>
      <c r="H1491" s="136">
        <f t="shared" si="46"/>
        <v>0</v>
      </c>
      <c r="I1491" s="136">
        <f t="shared" si="47"/>
        <v>0</v>
      </c>
      <c r="J1491" s="73"/>
    </row>
    <row r="1492" spans="1:10" s="5" customFormat="1" hidden="1">
      <c r="A1492" s="1069"/>
      <c r="B1492" s="244"/>
      <c r="C1492" s="434"/>
      <c r="D1492" s="434"/>
      <c r="E1492" s="436"/>
      <c r="F1492" s="55"/>
      <c r="G1492" s="55"/>
      <c r="H1492" s="136">
        <f t="shared" si="46"/>
        <v>0</v>
      </c>
      <c r="I1492" s="136">
        <f t="shared" si="47"/>
        <v>0</v>
      </c>
      <c r="J1492" s="73"/>
    </row>
    <row r="1493" spans="1:10" s="5" customFormat="1" hidden="1">
      <c r="A1493" s="1069"/>
      <c r="B1493" s="244"/>
      <c r="C1493" s="434"/>
      <c r="D1493" s="434"/>
      <c r="E1493" s="436"/>
      <c r="F1493" s="55"/>
      <c r="G1493" s="55"/>
      <c r="H1493" s="136">
        <f t="shared" si="46"/>
        <v>0</v>
      </c>
      <c r="I1493" s="136">
        <f t="shared" si="47"/>
        <v>0</v>
      </c>
      <c r="J1493" s="73"/>
    </row>
    <row r="1494" spans="1:10" s="5" customFormat="1" hidden="1">
      <c r="A1494" s="1069"/>
      <c r="B1494" s="244"/>
      <c r="C1494" s="434"/>
      <c r="D1494" s="434"/>
      <c r="E1494" s="436"/>
      <c r="F1494" s="55"/>
      <c r="G1494" s="55"/>
      <c r="H1494" s="136">
        <f t="shared" si="46"/>
        <v>0</v>
      </c>
      <c r="I1494" s="136">
        <f t="shared" si="47"/>
        <v>0</v>
      </c>
      <c r="J1494" s="73"/>
    </row>
    <row r="1495" spans="1:10" s="5" customFormat="1" hidden="1">
      <c r="A1495" s="1069"/>
      <c r="B1495" s="244"/>
      <c r="C1495" s="383"/>
      <c r="D1495" s="430"/>
      <c r="E1495" s="430"/>
      <c r="F1495" s="55"/>
      <c r="G1495" s="55"/>
      <c r="H1495" s="136">
        <f t="shared" si="46"/>
        <v>0</v>
      </c>
      <c r="I1495" s="136">
        <f t="shared" si="47"/>
        <v>0</v>
      </c>
      <c r="J1495" s="73"/>
    </row>
    <row r="1496" spans="1:10" s="5" customFormat="1" hidden="1">
      <c r="A1496" s="1069"/>
      <c r="B1496" s="244"/>
      <c r="C1496" s="434"/>
      <c r="D1496" s="434"/>
      <c r="E1496" s="436"/>
      <c r="F1496" s="55"/>
      <c r="G1496" s="55"/>
      <c r="H1496" s="136">
        <f t="shared" si="46"/>
        <v>0</v>
      </c>
      <c r="I1496" s="136">
        <f t="shared" si="47"/>
        <v>0</v>
      </c>
      <c r="J1496" s="73"/>
    </row>
    <row r="1497" spans="1:10" s="5" customFormat="1" hidden="1">
      <c r="A1497" s="1069"/>
      <c r="B1497" s="244"/>
      <c r="C1497" s="434"/>
      <c r="D1497" s="434"/>
      <c r="E1497" s="436"/>
      <c r="F1497" s="55"/>
      <c r="G1497" s="55"/>
      <c r="H1497" s="136">
        <f t="shared" si="46"/>
        <v>0</v>
      </c>
      <c r="I1497" s="136">
        <f t="shared" si="47"/>
        <v>0</v>
      </c>
      <c r="J1497" s="73"/>
    </row>
    <row r="1498" spans="1:10" s="5" customFormat="1" hidden="1">
      <c r="A1498" s="1069"/>
      <c r="B1498" s="244"/>
      <c r="C1498" s="434"/>
      <c r="D1498" s="434"/>
      <c r="E1498" s="436"/>
      <c r="F1498" s="55"/>
      <c r="G1498" s="55"/>
      <c r="H1498" s="136">
        <f t="shared" si="46"/>
        <v>0</v>
      </c>
      <c r="I1498" s="136">
        <f t="shared" si="47"/>
        <v>0</v>
      </c>
      <c r="J1498" s="73"/>
    </row>
    <row r="1499" spans="1:10" s="5" customFormat="1" hidden="1">
      <c r="A1499" s="1069"/>
      <c r="B1499" s="244"/>
      <c r="C1499" s="434"/>
      <c r="D1499" s="434"/>
      <c r="E1499" s="436"/>
      <c r="F1499" s="55"/>
      <c r="G1499" s="55"/>
      <c r="H1499" s="136">
        <f t="shared" si="46"/>
        <v>0</v>
      </c>
      <c r="I1499" s="136">
        <f t="shared" si="47"/>
        <v>0</v>
      </c>
      <c r="J1499" s="73"/>
    </row>
    <row r="1500" spans="1:10" s="5" customFormat="1" hidden="1">
      <c r="A1500" s="1069"/>
      <c r="B1500" s="244"/>
      <c r="C1500" s="434"/>
      <c r="D1500" s="434"/>
      <c r="E1500" s="436"/>
      <c r="F1500" s="55"/>
      <c r="G1500" s="55"/>
      <c r="H1500" s="136">
        <f t="shared" si="46"/>
        <v>0</v>
      </c>
      <c r="I1500" s="136">
        <f t="shared" si="47"/>
        <v>0</v>
      </c>
      <c r="J1500" s="73"/>
    </row>
    <row r="1501" spans="1:10" s="5" customFormat="1" hidden="1">
      <c r="A1501" s="1069"/>
      <c r="B1501" s="244"/>
      <c r="C1501" s="434"/>
      <c r="D1501" s="434"/>
      <c r="E1501" s="436"/>
      <c r="F1501" s="55"/>
      <c r="G1501" s="55"/>
      <c r="H1501" s="136">
        <f t="shared" si="46"/>
        <v>0</v>
      </c>
      <c r="I1501" s="136">
        <f t="shared" si="47"/>
        <v>0</v>
      </c>
      <c r="J1501" s="73"/>
    </row>
    <row r="1502" spans="1:10" s="5" customFormat="1" hidden="1">
      <c r="A1502" s="1069"/>
      <c r="B1502" s="244"/>
      <c r="C1502" s="434"/>
      <c r="D1502" s="434"/>
      <c r="E1502" s="436"/>
      <c r="F1502" s="55"/>
      <c r="G1502" s="55"/>
      <c r="H1502" s="136">
        <f t="shared" si="46"/>
        <v>0</v>
      </c>
      <c r="I1502" s="136">
        <f t="shared" si="47"/>
        <v>0</v>
      </c>
      <c r="J1502" s="73"/>
    </row>
    <row r="1503" spans="1:10" s="5" customFormat="1" hidden="1">
      <c r="A1503" s="1069"/>
      <c r="B1503" s="244"/>
      <c r="C1503" s="434"/>
      <c r="D1503" s="434"/>
      <c r="E1503" s="436"/>
      <c r="F1503" s="55"/>
      <c r="G1503" s="55"/>
      <c r="H1503" s="136">
        <f t="shared" si="46"/>
        <v>0</v>
      </c>
      <c r="I1503" s="136">
        <f t="shared" si="47"/>
        <v>0</v>
      </c>
      <c r="J1503" s="73"/>
    </row>
    <row r="1504" spans="1:10" s="5" customFormat="1" hidden="1">
      <c r="A1504" s="1069"/>
      <c r="B1504" s="244"/>
      <c r="C1504" s="434"/>
      <c r="D1504" s="434"/>
      <c r="E1504" s="436"/>
      <c r="F1504" s="55"/>
      <c r="G1504" s="55"/>
      <c r="H1504" s="136">
        <f t="shared" si="46"/>
        <v>0</v>
      </c>
      <c r="I1504" s="136">
        <f t="shared" si="47"/>
        <v>0</v>
      </c>
      <c r="J1504" s="73"/>
    </row>
    <row r="1505" spans="1:10" s="5" customFormat="1" hidden="1">
      <c r="A1505" s="1069"/>
      <c r="B1505" s="244"/>
      <c r="C1505" s="434"/>
      <c r="D1505" s="434"/>
      <c r="E1505" s="436"/>
      <c r="F1505" s="55"/>
      <c r="G1505" s="55"/>
      <c r="H1505" s="136">
        <f t="shared" si="46"/>
        <v>0</v>
      </c>
      <c r="I1505" s="136">
        <f t="shared" si="47"/>
        <v>0</v>
      </c>
      <c r="J1505" s="73"/>
    </row>
    <row r="1506" spans="1:10" s="5" customFormat="1" hidden="1">
      <c r="A1506" s="1069"/>
      <c r="B1506" s="244"/>
      <c r="C1506" s="434"/>
      <c r="D1506" s="434"/>
      <c r="E1506" s="436"/>
      <c r="F1506" s="55"/>
      <c r="G1506" s="55"/>
      <c r="H1506" s="136">
        <f t="shared" si="46"/>
        <v>0</v>
      </c>
      <c r="I1506" s="136">
        <f t="shared" si="47"/>
        <v>0</v>
      </c>
      <c r="J1506" s="73"/>
    </row>
    <row r="1507" spans="1:10" s="5" customFormat="1" hidden="1">
      <c r="A1507" s="1069"/>
      <c r="B1507" s="244"/>
      <c r="C1507" s="434"/>
      <c r="D1507" s="434"/>
      <c r="E1507" s="436"/>
      <c r="F1507" s="55"/>
      <c r="G1507" s="55"/>
      <c r="H1507" s="136">
        <f t="shared" si="46"/>
        <v>0</v>
      </c>
      <c r="I1507" s="136">
        <f t="shared" si="47"/>
        <v>0</v>
      </c>
      <c r="J1507" s="73"/>
    </row>
    <row r="1508" spans="1:10" s="5" customFormat="1" hidden="1">
      <c r="A1508" s="1069"/>
      <c r="B1508" s="244"/>
      <c r="C1508" s="383"/>
      <c r="D1508" s="433"/>
      <c r="E1508" s="433"/>
      <c r="F1508" s="55"/>
      <c r="G1508" s="55"/>
      <c r="H1508" s="136">
        <f t="shared" si="46"/>
        <v>0</v>
      </c>
      <c r="I1508" s="136">
        <f t="shared" si="47"/>
        <v>0</v>
      </c>
      <c r="J1508" s="73"/>
    </row>
    <row r="1509" spans="1:10">
      <c r="A1509" s="1068"/>
      <c r="B1509" s="461" t="s">
        <v>253</v>
      </c>
      <c r="C1509" s="462">
        <f>SUM(C1462:C1508)</f>
        <v>26250</v>
      </c>
      <c r="D1509" s="462">
        <f>SUM(D1462:D1508)</f>
        <v>0</v>
      </c>
      <c r="E1509" s="462">
        <f>SUM(E1462:E1508)</f>
        <v>26250</v>
      </c>
      <c r="F1509" s="75">
        <f>SUM(F1462:F1508)</f>
        <v>0</v>
      </c>
      <c r="G1509" s="75">
        <f>SUM(G1462:G1508)</f>
        <v>0</v>
      </c>
      <c r="H1509" s="459">
        <f t="shared" si="46"/>
        <v>0</v>
      </c>
      <c r="I1509" s="459">
        <f t="shared" si="47"/>
        <v>52500</v>
      </c>
      <c r="J1509" s="460"/>
    </row>
    <row r="1510" spans="1:10" ht="93.75">
      <c r="A1510" s="1068" t="s">
        <v>1690</v>
      </c>
      <c r="B1510" s="310" t="s">
        <v>1819</v>
      </c>
      <c r="C1510" s="452">
        <v>15000</v>
      </c>
      <c r="D1510" s="452"/>
      <c r="E1510" s="452">
        <v>15000</v>
      </c>
      <c r="F1510" s="138"/>
      <c r="G1510" s="138"/>
      <c r="H1510" s="459">
        <f t="shared" si="46"/>
        <v>0</v>
      </c>
      <c r="I1510" s="459">
        <f t="shared" si="47"/>
        <v>30000</v>
      </c>
      <c r="J1510" s="460"/>
    </row>
    <row r="1511" spans="1:10" ht="131.25">
      <c r="A1511" s="1068"/>
      <c r="B1511" s="310" t="s">
        <v>1681</v>
      </c>
      <c r="C1511" s="453">
        <v>19720</v>
      </c>
      <c r="D1511" s="454"/>
      <c r="E1511" s="454">
        <v>19720</v>
      </c>
      <c r="F1511" s="55"/>
      <c r="G1511" s="55"/>
      <c r="H1511" s="459">
        <f t="shared" si="46"/>
        <v>0</v>
      </c>
      <c r="I1511" s="459">
        <f t="shared" si="47"/>
        <v>39440</v>
      </c>
      <c r="J1511" s="460"/>
    </row>
    <row r="1512" spans="1:10" s="5" customFormat="1" hidden="1">
      <c r="A1512" s="1069"/>
      <c r="B1512" s="244"/>
      <c r="C1512" s="430"/>
      <c r="D1512" s="430"/>
      <c r="E1512" s="430"/>
      <c r="F1512" s="55"/>
      <c r="G1512" s="55"/>
      <c r="H1512" s="136">
        <f t="shared" si="46"/>
        <v>0</v>
      </c>
      <c r="I1512" s="136">
        <f t="shared" si="47"/>
        <v>0</v>
      </c>
      <c r="J1512" s="73"/>
    </row>
    <row r="1513" spans="1:10" s="5" customFormat="1" hidden="1">
      <c r="A1513" s="1069"/>
      <c r="B1513" s="244"/>
      <c r="C1513" s="430"/>
      <c r="D1513" s="430"/>
      <c r="E1513" s="430"/>
      <c r="F1513" s="55"/>
      <c r="G1513" s="55"/>
      <c r="H1513" s="136">
        <f t="shared" si="46"/>
        <v>0</v>
      </c>
      <c r="I1513" s="136">
        <f t="shared" si="47"/>
        <v>0</v>
      </c>
      <c r="J1513" s="73"/>
    </row>
    <row r="1514" spans="1:10" s="5" customFormat="1" hidden="1">
      <c r="A1514" s="1069"/>
      <c r="B1514" s="244"/>
      <c r="C1514" s="430"/>
      <c r="D1514" s="430"/>
      <c r="E1514" s="430"/>
      <c r="F1514" s="55"/>
      <c r="G1514" s="55"/>
      <c r="H1514" s="136">
        <f t="shared" si="46"/>
        <v>0</v>
      </c>
      <c r="I1514" s="136">
        <f t="shared" si="47"/>
        <v>0</v>
      </c>
      <c r="J1514" s="73"/>
    </row>
    <row r="1515" spans="1:10" s="5" customFormat="1" hidden="1">
      <c r="A1515" s="1069"/>
      <c r="B1515" s="244"/>
      <c r="C1515" s="383"/>
      <c r="D1515" s="383"/>
      <c r="E1515" s="430"/>
      <c r="F1515" s="55"/>
      <c r="G1515" s="55"/>
      <c r="H1515" s="136">
        <f t="shared" si="46"/>
        <v>0</v>
      </c>
      <c r="I1515" s="136">
        <f t="shared" si="47"/>
        <v>0</v>
      </c>
      <c r="J1515" s="73"/>
    </row>
    <row r="1516" spans="1:10" s="5" customFormat="1" hidden="1">
      <c r="A1516" s="1069"/>
      <c r="B1516" s="244"/>
      <c r="C1516" s="383"/>
      <c r="D1516" s="383"/>
      <c r="E1516" s="430"/>
      <c r="F1516" s="55"/>
      <c r="G1516" s="55"/>
      <c r="H1516" s="136">
        <f t="shared" si="46"/>
        <v>0</v>
      </c>
      <c r="I1516" s="136">
        <f t="shared" si="47"/>
        <v>0</v>
      </c>
      <c r="J1516" s="73"/>
    </row>
    <row r="1517" spans="1:10" s="5" customFormat="1" hidden="1">
      <c r="A1517" s="1069"/>
      <c r="B1517" s="244"/>
      <c r="C1517" s="383"/>
      <c r="D1517" s="383"/>
      <c r="E1517" s="430"/>
      <c r="F1517" s="55"/>
      <c r="G1517" s="55"/>
      <c r="H1517" s="136">
        <f t="shared" si="46"/>
        <v>0</v>
      </c>
      <c r="I1517" s="136">
        <f t="shared" si="47"/>
        <v>0</v>
      </c>
      <c r="J1517" s="73"/>
    </row>
    <row r="1518" spans="1:10" s="5" customFormat="1" hidden="1">
      <c r="A1518" s="1069"/>
      <c r="B1518" s="244"/>
      <c r="C1518" s="430"/>
      <c r="D1518" s="430"/>
      <c r="E1518" s="430"/>
      <c r="F1518" s="55"/>
      <c r="G1518" s="55"/>
      <c r="H1518" s="136">
        <f t="shared" si="46"/>
        <v>0</v>
      </c>
      <c r="I1518" s="136">
        <f t="shared" si="47"/>
        <v>0</v>
      </c>
      <c r="J1518" s="73"/>
    </row>
    <row r="1519" spans="1:10" s="5" customFormat="1" hidden="1">
      <c r="A1519" s="1069"/>
      <c r="B1519" s="244"/>
      <c r="C1519" s="383"/>
      <c r="D1519" s="383"/>
      <c r="E1519" s="430"/>
      <c r="F1519" s="55"/>
      <c r="G1519" s="55"/>
      <c r="H1519" s="136">
        <f t="shared" si="46"/>
        <v>0</v>
      </c>
      <c r="I1519" s="136">
        <f t="shared" si="47"/>
        <v>0</v>
      </c>
      <c r="J1519" s="73"/>
    </row>
    <row r="1520" spans="1:10" s="5" customFormat="1" hidden="1">
      <c r="A1520" s="1069"/>
      <c r="B1520" s="244"/>
      <c r="C1520" s="383"/>
      <c r="D1520" s="383"/>
      <c r="E1520" s="430"/>
      <c r="F1520" s="55"/>
      <c r="G1520" s="55"/>
      <c r="H1520" s="136">
        <f t="shared" si="46"/>
        <v>0</v>
      </c>
      <c r="I1520" s="136">
        <f t="shared" si="47"/>
        <v>0</v>
      </c>
      <c r="J1520" s="73"/>
    </row>
    <row r="1521" spans="1:10" s="5" customFormat="1" hidden="1">
      <c r="A1521" s="1069"/>
      <c r="B1521" s="244"/>
      <c r="C1521" s="383"/>
      <c r="D1521" s="383"/>
      <c r="E1521" s="430"/>
      <c r="F1521" s="55"/>
      <c r="G1521" s="55"/>
      <c r="H1521" s="136">
        <f t="shared" si="46"/>
        <v>0</v>
      </c>
      <c r="I1521" s="136">
        <f t="shared" si="47"/>
        <v>0</v>
      </c>
      <c r="J1521" s="73"/>
    </row>
    <row r="1522" spans="1:10" s="5" customFormat="1" hidden="1">
      <c r="A1522" s="1069"/>
      <c r="B1522" s="244"/>
      <c r="C1522" s="383"/>
      <c r="D1522" s="383"/>
      <c r="E1522" s="430"/>
      <c r="F1522" s="55"/>
      <c r="G1522" s="55"/>
      <c r="H1522" s="136">
        <f t="shared" si="46"/>
        <v>0</v>
      </c>
      <c r="I1522" s="136">
        <f t="shared" si="47"/>
        <v>0</v>
      </c>
      <c r="J1522" s="73"/>
    </row>
    <row r="1523" spans="1:10" s="5" customFormat="1" hidden="1">
      <c r="A1523" s="1069"/>
      <c r="B1523" s="244"/>
      <c r="C1523" s="383"/>
      <c r="D1523" s="430"/>
      <c r="E1523" s="430"/>
      <c r="F1523" s="55"/>
      <c r="G1523" s="55"/>
      <c r="H1523" s="136">
        <f t="shared" si="46"/>
        <v>0</v>
      </c>
      <c r="I1523" s="136">
        <f t="shared" si="47"/>
        <v>0</v>
      </c>
      <c r="J1523" s="73"/>
    </row>
    <row r="1524" spans="1:10" s="5" customFormat="1" hidden="1">
      <c r="A1524" s="1069"/>
      <c r="B1524" s="244"/>
      <c r="C1524" s="383"/>
      <c r="D1524" s="383"/>
      <c r="E1524" s="433"/>
      <c r="F1524" s="55"/>
      <c r="G1524" s="55"/>
      <c r="H1524" s="136">
        <f t="shared" si="46"/>
        <v>0</v>
      </c>
      <c r="I1524" s="136">
        <f t="shared" si="47"/>
        <v>0</v>
      </c>
      <c r="J1524" s="73"/>
    </row>
    <row r="1525" spans="1:10" s="5" customFormat="1" hidden="1">
      <c r="A1525" s="1069"/>
      <c r="B1525" s="246"/>
      <c r="C1525" s="435"/>
      <c r="D1525" s="435"/>
      <c r="E1525" s="435"/>
      <c r="F1525" s="55"/>
      <c r="G1525" s="55"/>
      <c r="H1525" s="136">
        <f t="shared" si="46"/>
        <v>0</v>
      </c>
      <c r="I1525" s="136">
        <f t="shared" si="47"/>
        <v>0</v>
      </c>
      <c r="J1525" s="73"/>
    </row>
    <row r="1526" spans="1:10" s="5" customFormat="1" hidden="1">
      <c r="A1526" s="1069"/>
      <c r="B1526" s="246"/>
      <c r="C1526" s="435"/>
      <c r="D1526" s="435"/>
      <c r="E1526" s="435"/>
      <c r="F1526" s="55"/>
      <c r="G1526" s="55"/>
      <c r="H1526" s="136">
        <f t="shared" si="46"/>
        <v>0</v>
      </c>
      <c r="I1526" s="136">
        <f t="shared" si="47"/>
        <v>0</v>
      </c>
      <c r="J1526" s="73"/>
    </row>
    <row r="1527" spans="1:10" s="5" customFormat="1" hidden="1">
      <c r="A1527" s="1069"/>
      <c r="B1527" s="246"/>
      <c r="C1527" s="435"/>
      <c r="D1527" s="435"/>
      <c r="E1527" s="435"/>
      <c r="F1527" s="55"/>
      <c r="G1527" s="55"/>
      <c r="H1527" s="136">
        <f t="shared" si="46"/>
        <v>0</v>
      </c>
      <c r="I1527" s="136">
        <f t="shared" si="47"/>
        <v>0</v>
      </c>
      <c r="J1527" s="73"/>
    </row>
    <row r="1528" spans="1:10" s="5" customFormat="1" hidden="1">
      <c r="A1528" s="1069"/>
      <c r="B1528" s="246"/>
      <c r="C1528" s="435"/>
      <c r="D1528" s="435"/>
      <c r="E1528" s="435"/>
      <c r="F1528" s="55"/>
      <c r="G1528" s="55"/>
      <c r="H1528" s="136">
        <f t="shared" si="46"/>
        <v>0</v>
      </c>
      <c r="I1528" s="136">
        <f t="shared" si="47"/>
        <v>0</v>
      </c>
      <c r="J1528" s="73"/>
    </row>
    <row r="1529" spans="1:10" s="5" customFormat="1" hidden="1">
      <c r="A1529" s="1069"/>
      <c r="B1529" s="246"/>
      <c r="C1529" s="435"/>
      <c r="D1529" s="435"/>
      <c r="E1529" s="435"/>
      <c r="F1529" s="55"/>
      <c r="G1529" s="55"/>
      <c r="H1529" s="136">
        <f t="shared" si="46"/>
        <v>0</v>
      </c>
      <c r="I1529" s="136">
        <f t="shared" si="47"/>
        <v>0</v>
      </c>
      <c r="J1529" s="73"/>
    </row>
    <row r="1530" spans="1:10" s="5" customFormat="1" hidden="1">
      <c r="A1530" s="1069"/>
      <c r="B1530" s="246"/>
      <c r="C1530" s="435"/>
      <c r="D1530" s="435"/>
      <c r="E1530" s="435"/>
      <c r="F1530" s="55"/>
      <c r="G1530" s="55"/>
      <c r="H1530" s="136">
        <f t="shared" si="46"/>
        <v>0</v>
      </c>
      <c r="I1530" s="136">
        <f t="shared" si="47"/>
        <v>0</v>
      </c>
      <c r="J1530" s="73"/>
    </row>
    <row r="1531" spans="1:10" s="5" customFormat="1" hidden="1">
      <c r="A1531" s="1069"/>
      <c r="B1531" s="246"/>
      <c r="C1531" s="434"/>
      <c r="D1531" s="434"/>
      <c r="E1531" s="435"/>
      <c r="F1531" s="55"/>
      <c r="G1531" s="55"/>
      <c r="H1531" s="136">
        <f t="shared" si="46"/>
        <v>0</v>
      </c>
      <c r="I1531" s="136">
        <f t="shared" si="47"/>
        <v>0</v>
      </c>
      <c r="J1531" s="73"/>
    </row>
    <row r="1532" spans="1:10" s="5" customFormat="1" hidden="1">
      <c r="A1532" s="1069"/>
      <c r="B1532" s="246"/>
      <c r="C1532" s="434"/>
      <c r="D1532" s="434"/>
      <c r="E1532" s="435"/>
      <c r="F1532" s="55"/>
      <c r="G1532" s="55"/>
      <c r="H1532" s="136">
        <f t="shared" si="46"/>
        <v>0</v>
      </c>
      <c r="I1532" s="136">
        <f t="shared" si="47"/>
        <v>0</v>
      </c>
      <c r="J1532" s="73"/>
    </row>
    <row r="1533" spans="1:10" s="5" customFormat="1" hidden="1">
      <c r="A1533" s="1069"/>
      <c r="B1533" s="246"/>
      <c r="C1533" s="434"/>
      <c r="D1533" s="434"/>
      <c r="E1533" s="435"/>
      <c r="F1533" s="55"/>
      <c r="G1533" s="55"/>
      <c r="H1533" s="136">
        <f t="shared" si="46"/>
        <v>0</v>
      </c>
      <c r="I1533" s="136">
        <f t="shared" si="47"/>
        <v>0</v>
      </c>
      <c r="J1533" s="73"/>
    </row>
    <row r="1534" spans="1:10" s="5" customFormat="1" hidden="1">
      <c r="A1534" s="1069"/>
      <c r="B1534" s="244"/>
      <c r="C1534" s="434"/>
      <c r="D1534" s="434"/>
      <c r="E1534" s="436"/>
      <c r="F1534" s="55"/>
      <c r="G1534" s="55"/>
      <c r="H1534" s="136">
        <f t="shared" si="46"/>
        <v>0</v>
      </c>
      <c r="I1534" s="136">
        <f t="shared" si="47"/>
        <v>0</v>
      </c>
      <c r="J1534" s="73"/>
    </row>
    <row r="1535" spans="1:10" s="5" customFormat="1" hidden="1">
      <c r="A1535" s="1069"/>
      <c r="B1535" s="244"/>
      <c r="C1535" s="434"/>
      <c r="D1535" s="434"/>
      <c r="E1535" s="436"/>
      <c r="F1535" s="55"/>
      <c r="G1535" s="55"/>
      <c r="H1535" s="136">
        <f t="shared" si="46"/>
        <v>0</v>
      </c>
      <c r="I1535" s="136">
        <f t="shared" si="47"/>
        <v>0</v>
      </c>
      <c r="J1535" s="73"/>
    </row>
    <row r="1536" spans="1:10" s="5" customFormat="1" hidden="1">
      <c r="A1536" s="1069"/>
      <c r="B1536" s="244"/>
      <c r="C1536" s="434"/>
      <c r="D1536" s="434"/>
      <c r="E1536" s="436"/>
      <c r="F1536" s="55"/>
      <c r="G1536" s="55"/>
      <c r="H1536" s="136">
        <f t="shared" si="46"/>
        <v>0</v>
      </c>
      <c r="I1536" s="136">
        <f t="shared" si="47"/>
        <v>0</v>
      </c>
      <c r="J1536" s="73"/>
    </row>
    <row r="1537" spans="1:10" s="5" customFormat="1" hidden="1">
      <c r="A1537" s="1069"/>
      <c r="B1537" s="244"/>
      <c r="C1537" s="434"/>
      <c r="D1537" s="434"/>
      <c r="E1537" s="436"/>
      <c r="F1537" s="55"/>
      <c r="G1537" s="55"/>
      <c r="H1537" s="136">
        <f t="shared" si="46"/>
        <v>0</v>
      </c>
      <c r="I1537" s="136">
        <f t="shared" si="47"/>
        <v>0</v>
      </c>
      <c r="J1537" s="73"/>
    </row>
    <row r="1538" spans="1:10" s="5" customFormat="1" hidden="1">
      <c r="A1538" s="1069"/>
      <c r="B1538" s="244"/>
      <c r="C1538" s="434"/>
      <c r="D1538" s="434"/>
      <c r="E1538" s="436"/>
      <c r="F1538" s="55"/>
      <c r="G1538" s="55"/>
      <c r="H1538" s="136">
        <f t="shared" si="46"/>
        <v>0</v>
      </c>
      <c r="I1538" s="136">
        <f t="shared" si="47"/>
        <v>0</v>
      </c>
      <c r="J1538" s="73"/>
    </row>
    <row r="1539" spans="1:10" s="5" customFormat="1" hidden="1">
      <c r="A1539" s="1069"/>
      <c r="B1539" s="244"/>
      <c r="C1539" s="434"/>
      <c r="D1539" s="434"/>
      <c r="E1539" s="436"/>
      <c r="F1539" s="55"/>
      <c r="G1539" s="55"/>
      <c r="H1539" s="136">
        <f t="shared" si="46"/>
        <v>0</v>
      </c>
      <c r="I1539" s="136">
        <f t="shared" si="47"/>
        <v>0</v>
      </c>
      <c r="J1539" s="73"/>
    </row>
    <row r="1540" spans="1:10" s="5" customFormat="1" hidden="1">
      <c r="A1540" s="1069"/>
      <c r="B1540" s="244"/>
      <c r="C1540" s="434"/>
      <c r="D1540" s="434"/>
      <c r="E1540" s="436"/>
      <c r="F1540" s="55"/>
      <c r="G1540" s="55"/>
      <c r="H1540" s="136">
        <f t="shared" si="46"/>
        <v>0</v>
      </c>
      <c r="I1540" s="136">
        <f t="shared" si="47"/>
        <v>0</v>
      </c>
      <c r="J1540" s="73"/>
    </row>
    <row r="1541" spans="1:10" s="5" customFormat="1" hidden="1">
      <c r="A1541" s="1069"/>
      <c r="B1541" s="244"/>
      <c r="C1541" s="434"/>
      <c r="D1541" s="434"/>
      <c r="E1541" s="436"/>
      <c r="F1541" s="55"/>
      <c r="G1541" s="55"/>
      <c r="H1541" s="136">
        <f t="shared" si="46"/>
        <v>0</v>
      </c>
      <c r="I1541" s="136">
        <f t="shared" si="47"/>
        <v>0</v>
      </c>
      <c r="J1541" s="73"/>
    </row>
    <row r="1542" spans="1:10" s="5" customFormat="1" hidden="1">
      <c r="A1542" s="1069"/>
      <c r="B1542" s="244"/>
      <c r="C1542" s="434"/>
      <c r="D1542" s="434"/>
      <c r="E1542" s="436"/>
      <c r="F1542" s="55"/>
      <c r="G1542" s="55"/>
      <c r="H1542" s="136">
        <f t="shared" si="46"/>
        <v>0</v>
      </c>
      <c r="I1542" s="136">
        <f t="shared" si="47"/>
        <v>0</v>
      </c>
      <c r="J1542" s="73"/>
    </row>
    <row r="1543" spans="1:10" s="5" customFormat="1" hidden="1">
      <c r="A1543" s="1069"/>
      <c r="B1543" s="244"/>
      <c r="C1543" s="383"/>
      <c r="D1543" s="430"/>
      <c r="E1543" s="430"/>
      <c r="F1543" s="55"/>
      <c r="G1543" s="55"/>
      <c r="H1543" s="136">
        <f t="shared" si="46"/>
        <v>0</v>
      </c>
      <c r="I1543" s="136">
        <f t="shared" si="47"/>
        <v>0</v>
      </c>
      <c r="J1543" s="73"/>
    </row>
    <row r="1544" spans="1:10" s="5" customFormat="1" hidden="1">
      <c r="A1544" s="1069"/>
      <c r="B1544" s="244"/>
      <c r="C1544" s="434"/>
      <c r="D1544" s="434"/>
      <c r="E1544" s="436"/>
      <c r="F1544" s="55"/>
      <c r="G1544" s="55"/>
      <c r="H1544" s="136">
        <f t="shared" si="46"/>
        <v>0</v>
      </c>
      <c r="I1544" s="136">
        <f t="shared" si="47"/>
        <v>0</v>
      </c>
      <c r="J1544" s="73"/>
    </row>
    <row r="1545" spans="1:10" s="5" customFormat="1" hidden="1">
      <c r="A1545" s="1069"/>
      <c r="B1545" s="244"/>
      <c r="C1545" s="434"/>
      <c r="D1545" s="434"/>
      <c r="E1545" s="436"/>
      <c r="F1545" s="55"/>
      <c r="G1545" s="55"/>
      <c r="H1545" s="136">
        <f t="shared" ref="H1545:H1608" si="48">E1545+D1545-C1545</f>
        <v>0</v>
      </c>
      <c r="I1545" s="136">
        <f t="shared" ref="I1545:I1608" si="49">SUM(C1545:E1545)</f>
        <v>0</v>
      </c>
      <c r="J1545" s="73"/>
    </row>
    <row r="1546" spans="1:10" s="5" customFormat="1" hidden="1">
      <c r="A1546" s="1069"/>
      <c r="B1546" s="244"/>
      <c r="C1546" s="434"/>
      <c r="D1546" s="434"/>
      <c r="E1546" s="436"/>
      <c r="F1546" s="55"/>
      <c r="G1546" s="55"/>
      <c r="H1546" s="136">
        <f t="shared" si="48"/>
        <v>0</v>
      </c>
      <c r="I1546" s="136">
        <f t="shared" si="49"/>
        <v>0</v>
      </c>
      <c r="J1546" s="73"/>
    </row>
    <row r="1547" spans="1:10" s="5" customFormat="1" hidden="1">
      <c r="A1547" s="1069"/>
      <c r="B1547" s="244"/>
      <c r="C1547" s="434"/>
      <c r="D1547" s="434"/>
      <c r="E1547" s="436"/>
      <c r="F1547" s="55"/>
      <c r="G1547" s="55"/>
      <c r="H1547" s="136">
        <f t="shared" si="48"/>
        <v>0</v>
      </c>
      <c r="I1547" s="136">
        <f t="shared" si="49"/>
        <v>0</v>
      </c>
      <c r="J1547" s="73"/>
    </row>
    <row r="1548" spans="1:10" s="5" customFormat="1" hidden="1">
      <c r="A1548" s="1069"/>
      <c r="B1548" s="244"/>
      <c r="C1548" s="434"/>
      <c r="D1548" s="434"/>
      <c r="E1548" s="436"/>
      <c r="F1548" s="55"/>
      <c r="G1548" s="55"/>
      <c r="H1548" s="136">
        <f t="shared" si="48"/>
        <v>0</v>
      </c>
      <c r="I1548" s="136">
        <f t="shared" si="49"/>
        <v>0</v>
      </c>
      <c r="J1548" s="73"/>
    </row>
    <row r="1549" spans="1:10" s="5" customFormat="1" hidden="1">
      <c r="A1549" s="1069"/>
      <c r="B1549" s="244"/>
      <c r="C1549" s="434"/>
      <c r="D1549" s="434"/>
      <c r="E1549" s="436"/>
      <c r="F1549" s="55"/>
      <c r="G1549" s="55"/>
      <c r="H1549" s="136">
        <f t="shared" si="48"/>
        <v>0</v>
      </c>
      <c r="I1549" s="136">
        <f t="shared" si="49"/>
        <v>0</v>
      </c>
      <c r="J1549" s="73"/>
    </row>
    <row r="1550" spans="1:10" s="5" customFormat="1" hidden="1">
      <c r="A1550" s="1069"/>
      <c r="B1550" s="244"/>
      <c r="C1550" s="434"/>
      <c r="D1550" s="434"/>
      <c r="E1550" s="436"/>
      <c r="F1550" s="55"/>
      <c r="G1550" s="55"/>
      <c r="H1550" s="136">
        <f t="shared" si="48"/>
        <v>0</v>
      </c>
      <c r="I1550" s="136">
        <f t="shared" si="49"/>
        <v>0</v>
      </c>
      <c r="J1550" s="73"/>
    </row>
    <row r="1551" spans="1:10" s="5" customFormat="1" hidden="1">
      <c r="A1551" s="1069"/>
      <c r="B1551" s="244"/>
      <c r="C1551" s="434"/>
      <c r="D1551" s="434"/>
      <c r="E1551" s="436"/>
      <c r="F1551" s="55"/>
      <c r="G1551" s="55"/>
      <c r="H1551" s="136">
        <f t="shared" si="48"/>
        <v>0</v>
      </c>
      <c r="I1551" s="136">
        <f t="shared" si="49"/>
        <v>0</v>
      </c>
      <c r="J1551" s="73"/>
    </row>
    <row r="1552" spans="1:10" s="5" customFormat="1" hidden="1">
      <c r="A1552" s="1069"/>
      <c r="B1552" s="244"/>
      <c r="C1552" s="434"/>
      <c r="D1552" s="434"/>
      <c r="E1552" s="436"/>
      <c r="F1552" s="55"/>
      <c r="G1552" s="55"/>
      <c r="H1552" s="136">
        <f t="shared" si="48"/>
        <v>0</v>
      </c>
      <c r="I1552" s="136">
        <f t="shared" si="49"/>
        <v>0</v>
      </c>
      <c r="J1552" s="73"/>
    </row>
    <row r="1553" spans="1:10" s="5" customFormat="1" hidden="1">
      <c r="A1553" s="1069"/>
      <c r="B1553" s="244"/>
      <c r="C1553" s="434"/>
      <c r="D1553" s="434"/>
      <c r="E1553" s="436"/>
      <c r="F1553" s="55"/>
      <c r="G1553" s="55"/>
      <c r="H1553" s="136">
        <f t="shared" si="48"/>
        <v>0</v>
      </c>
      <c r="I1553" s="136">
        <f t="shared" si="49"/>
        <v>0</v>
      </c>
      <c r="J1553" s="73"/>
    </row>
    <row r="1554" spans="1:10" s="5" customFormat="1" hidden="1">
      <c r="A1554" s="1069"/>
      <c r="B1554" s="244"/>
      <c r="C1554" s="434"/>
      <c r="D1554" s="434"/>
      <c r="E1554" s="436"/>
      <c r="F1554" s="55"/>
      <c r="G1554" s="55"/>
      <c r="H1554" s="136">
        <f t="shared" si="48"/>
        <v>0</v>
      </c>
      <c r="I1554" s="136">
        <f t="shared" si="49"/>
        <v>0</v>
      </c>
      <c r="J1554" s="73"/>
    </row>
    <row r="1555" spans="1:10" s="5" customFormat="1" hidden="1">
      <c r="A1555" s="1069"/>
      <c r="B1555" s="244"/>
      <c r="C1555" s="434"/>
      <c r="D1555" s="434"/>
      <c r="E1555" s="436"/>
      <c r="F1555" s="55"/>
      <c r="G1555" s="55"/>
      <c r="H1555" s="136">
        <f t="shared" si="48"/>
        <v>0</v>
      </c>
      <c r="I1555" s="136">
        <f t="shared" si="49"/>
        <v>0</v>
      </c>
      <c r="J1555" s="73"/>
    </row>
    <row r="1556" spans="1:10" s="5" customFormat="1" hidden="1">
      <c r="A1556" s="1069"/>
      <c r="B1556" s="244"/>
      <c r="C1556" s="383"/>
      <c r="D1556" s="433"/>
      <c r="E1556" s="433"/>
      <c r="F1556" s="55"/>
      <c r="G1556" s="55"/>
      <c r="H1556" s="136">
        <f t="shared" si="48"/>
        <v>0</v>
      </c>
      <c r="I1556" s="136">
        <f t="shared" si="49"/>
        <v>0</v>
      </c>
      <c r="J1556" s="73"/>
    </row>
    <row r="1557" spans="1:10">
      <c r="A1557" s="1068"/>
      <c r="B1557" s="461" t="s">
        <v>253</v>
      </c>
      <c r="C1557" s="462">
        <f>SUM(C1510:C1556)</f>
        <v>34720</v>
      </c>
      <c r="D1557" s="462">
        <f>SUM(D1510:D1556)</f>
        <v>0</v>
      </c>
      <c r="E1557" s="462">
        <f>SUM(E1510:E1556)</f>
        <v>34720</v>
      </c>
      <c r="F1557" s="75">
        <f>SUM(F1510:F1556)</f>
        <v>0</v>
      </c>
      <c r="G1557" s="75">
        <f>SUM(G1510:G1556)</f>
        <v>0</v>
      </c>
      <c r="H1557" s="459">
        <f t="shared" si="48"/>
        <v>0</v>
      </c>
      <c r="I1557" s="459">
        <f t="shared" si="49"/>
        <v>69440</v>
      </c>
      <c r="J1557" s="460"/>
    </row>
    <row r="1558" spans="1:10" ht="93.75">
      <c r="A1558" s="1068" t="s">
        <v>347</v>
      </c>
      <c r="B1558" s="310" t="s">
        <v>1821</v>
      </c>
      <c r="C1558" s="475">
        <v>121400</v>
      </c>
      <c r="D1558" s="475"/>
      <c r="E1558" s="475">
        <v>121400</v>
      </c>
      <c r="F1558" s="138"/>
      <c r="G1558" s="138"/>
      <c r="H1558" s="459">
        <f t="shared" si="48"/>
        <v>0</v>
      </c>
      <c r="I1558" s="459">
        <f t="shared" si="49"/>
        <v>242800</v>
      </c>
      <c r="J1558" s="460"/>
    </row>
    <row r="1559" spans="1:10" ht="131.25">
      <c r="A1559" s="1068"/>
      <c r="B1559" s="310" t="s">
        <v>1681</v>
      </c>
      <c r="C1559" s="453">
        <v>104180</v>
      </c>
      <c r="D1559" s="454"/>
      <c r="E1559" s="454">
        <v>104180</v>
      </c>
      <c r="F1559" s="55"/>
      <c r="G1559" s="55"/>
      <c r="H1559" s="459">
        <f t="shared" si="48"/>
        <v>0</v>
      </c>
      <c r="I1559" s="459">
        <f t="shared" si="49"/>
        <v>208360</v>
      </c>
      <c r="J1559" s="460"/>
    </row>
    <row r="1560" spans="1:10">
      <c r="A1560" s="1068"/>
      <c r="B1560" s="310" t="s">
        <v>1697</v>
      </c>
      <c r="C1560" s="454">
        <v>540000</v>
      </c>
      <c r="D1560" s="454"/>
      <c r="E1560" s="454">
        <v>540000</v>
      </c>
      <c r="F1560" s="55"/>
      <c r="G1560" s="55"/>
      <c r="H1560" s="459">
        <f t="shared" si="48"/>
        <v>0</v>
      </c>
      <c r="I1560" s="459">
        <f t="shared" si="49"/>
        <v>1080000</v>
      </c>
      <c r="J1560" s="460"/>
    </row>
    <row r="1561" spans="1:10" s="5" customFormat="1" hidden="1">
      <c r="A1561" s="1069"/>
      <c r="B1561" s="244"/>
      <c r="C1561" s="430"/>
      <c r="D1561" s="430"/>
      <c r="E1561" s="430"/>
      <c r="F1561" s="55"/>
      <c r="G1561" s="55"/>
      <c r="H1561" s="136">
        <f t="shared" si="48"/>
        <v>0</v>
      </c>
      <c r="I1561" s="136">
        <f t="shared" si="49"/>
        <v>0</v>
      </c>
      <c r="J1561" s="73"/>
    </row>
    <row r="1562" spans="1:10" s="5" customFormat="1" hidden="1">
      <c r="A1562" s="1069"/>
      <c r="B1562" s="244"/>
      <c r="C1562" s="430"/>
      <c r="D1562" s="430"/>
      <c r="E1562" s="430"/>
      <c r="F1562" s="55"/>
      <c r="G1562" s="55"/>
      <c r="H1562" s="136">
        <f t="shared" si="48"/>
        <v>0</v>
      </c>
      <c r="I1562" s="136">
        <f t="shared" si="49"/>
        <v>0</v>
      </c>
      <c r="J1562" s="73"/>
    </row>
    <row r="1563" spans="1:10" s="5" customFormat="1" hidden="1">
      <c r="A1563" s="1069"/>
      <c r="B1563" s="244"/>
      <c r="C1563" s="383"/>
      <c r="D1563" s="383"/>
      <c r="E1563" s="430"/>
      <c r="F1563" s="55"/>
      <c r="G1563" s="55"/>
      <c r="H1563" s="136">
        <f t="shared" si="48"/>
        <v>0</v>
      </c>
      <c r="I1563" s="136">
        <f t="shared" si="49"/>
        <v>0</v>
      </c>
      <c r="J1563" s="73"/>
    </row>
    <row r="1564" spans="1:10" s="5" customFormat="1" hidden="1">
      <c r="A1564" s="1069"/>
      <c r="B1564" s="244"/>
      <c r="C1564" s="383"/>
      <c r="D1564" s="383"/>
      <c r="E1564" s="430"/>
      <c r="F1564" s="55"/>
      <c r="G1564" s="55"/>
      <c r="H1564" s="136">
        <f t="shared" si="48"/>
        <v>0</v>
      </c>
      <c r="I1564" s="136">
        <f t="shared" si="49"/>
        <v>0</v>
      </c>
      <c r="J1564" s="73"/>
    </row>
    <row r="1565" spans="1:10" s="5" customFormat="1" hidden="1">
      <c r="A1565" s="1069"/>
      <c r="B1565" s="244"/>
      <c r="C1565" s="383"/>
      <c r="D1565" s="383"/>
      <c r="E1565" s="430"/>
      <c r="F1565" s="55"/>
      <c r="G1565" s="55"/>
      <c r="H1565" s="136">
        <f t="shared" si="48"/>
        <v>0</v>
      </c>
      <c r="I1565" s="136">
        <f t="shared" si="49"/>
        <v>0</v>
      </c>
      <c r="J1565" s="73"/>
    </row>
    <row r="1566" spans="1:10" s="5" customFormat="1" hidden="1">
      <c r="A1566" s="1069"/>
      <c r="B1566" s="244"/>
      <c r="C1566" s="430"/>
      <c r="D1566" s="430"/>
      <c r="E1566" s="430"/>
      <c r="F1566" s="55"/>
      <c r="G1566" s="55"/>
      <c r="H1566" s="136">
        <f t="shared" si="48"/>
        <v>0</v>
      </c>
      <c r="I1566" s="136">
        <f t="shared" si="49"/>
        <v>0</v>
      </c>
      <c r="J1566" s="73"/>
    </row>
    <row r="1567" spans="1:10" s="5" customFormat="1" hidden="1">
      <c r="A1567" s="1069"/>
      <c r="B1567" s="244"/>
      <c r="C1567" s="383"/>
      <c r="D1567" s="383"/>
      <c r="E1567" s="430"/>
      <c r="F1567" s="55"/>
      <c r="G1567" s="55"/>
      <c r="H1567" s="136">
        <f t="shared" si="48"/>
        <v>0</v>
      </c>
      <c r="I1567" s="136">
        <f t="shared" si="49"/>
        <v>0</v>
      </c>
      <c r="J1567" s="73"/>
    </row>
    <row r="1568" spans="1:10" s="5" customFormat="1" hidden="1">
      <c r="A1568" s="1069"/>
      <c r="B1568" s="244"/>
      <c r="C1568" s="383"/>
      <c r="D1568" s="383"/>
      <c r="E1568" s="430"/>
      <c r="F1568" s="55"/>
      <c r="G1568" s="55"/>
      <c r="H1568" s="136">
        <f t="shared" si="48"/>
        <v>0</v>
      </c>
      <c r="I1568" s="136">
        <f t="shared" si="49"/>
        <v>0</v>
      </c>
      <c r="J1568" s="73"/>
    </row>
    <row r="1569" spans="1:10" s="5" customFormat="1" hidden="1">
      <c r="A1569" s="1069"/>
      <c r="B1569" s="244"/>
      <c r="C1569" s="383"/>
      <c r="D1569" s="383"/>
      <c r="E1569" s="430"/>
      <c r="F1569" s="55"/>
      <c r="G1569" s="55"/>
      <c r="H1569" s="136">
        <f t="shared" si="48"/>
        <v>0</v>
      </c>
      <c r="I1569" s="136">
        <f t="shared" si="49"/>
        <v>0</v>
      </c>
      <c r="J1569" s="73"/>
    </row>
    <row r="1570" spans="1:10" s="5" customFormat="1" hidden="1">
      <c r="A1570" s="1069"/>
      <c r="B1570" s="244"/>
      <c r="C1570" s="383"/>
      <c r="D1570" s="383"/>
      <c r="E1570" s="430"/>
      <c r="F1570" s="55"/>
      <c r="G1570" s="55"/>
      <c r="H1570" s="136">
        <f t="shared" si="48"/>
        <v>0</v>
      </c>
      <c r="I1570" s="136">
        <f t="shared" si="49"/>
        <v>0</v>
      </c>
      <c r="J1570" s="73"/>
    </row>
    <row r="1571" spans="1:10" s="5" customFormat="1" hidden="1">
      <c r="A1571" s="1069"/>
      <c r="B1571" s="244"/>
      <c r="C1571" s="383"/>
      <c r="D1571" s="430"/>
      <c r="E1571" s="430"/>
      <c r="F1571" s="55"/>
      <c r="G1571" s="55"/>
      <c r="H1571" s="136">
        <f t="shared" si="48"/>
        <v>0</v>
      </c>
      <c r="I1571" s="136">
        <f t="shared" si="49"/>
        <v>0</v>
      </c>
      <c r="J1571" s="73"/>
    </row>
    <row r="1572" spans="1:10" s="5" customFormat="1" hidden="1">
      <c r="A1572" s="1069"/>
      <c r="B1572" s="244"/>
      <c r="C1572" s="383"/>
      <c r="D1572" s="383"/>
      <c r="E1572" s="433"/>
      <c r="F1572" s="55"/>
      <c r="G1572" s="55"/>
      <c r="H1572" s="136">
        <f t="shared" si="48"/>
        <v>0</v>
      </c>
      <c r="I1572" s="136">
        <f t="shared" si="49"/>
        <v>0</v>
      </c>
      <c r="J1572" s="73"/>
    </row>
    <row r="1573" spans="1:10" s="5" customFormat="1" hidden="1">
      <c r="A1573" s="1069"/>
      <c r="B1573" s="246"/>
      <c r="C1573" s="435"/>
      <c r="D1573" s="435"/>
      <c r="E1573" s="435"/>
      <c r="F1573" s="55"/>
      <c r="G1573" s="55"/>
      <c r="H1573" s="136">
        <f t="shared" si="48"/>
        <v>0</v>
      </c>
      <c r="I1573" s="136">
        <f t="shared" si="49"/>
        <v>0</v>
      </c>
      <c r="J1573" s="73"/>
    </row>
    <row r="1574" spans="1:10" s="5" customFormat="1" hidden="1">
      <c r="A1574" s="1069"/>
      <c r="B1574" s="246"/>
      <c r="C1574" s="435"/>
      <c r="D1574" s="435"/>
      <c r="E1574" s="435"/>
      <c r="F1574" s="55"/>
      <c r="G1574" s="55"/>
      <c r="H1574" s="136">
        <f t="shared" si="48"/>
        <v>0</v>
      </c>
      <c r="I1574" s="136">
        <f t="shared" si="49"/>
        <v>0</v>
      </c>
      <c r="J1574" s="73"/>
    </row>
    <row r="1575" spans="1:10" s="5" customFormat="1" hidden="1">
      <c r="A1575" s="1069"/>
      <c r="B1575" s="246"/>
      <c r="C1575" s="435"/>
      <c r="D1575" s="435"/>
      <c r="E1575" s="435"/>
      <c r="F1575" s="55"/>
      <c r="G1575" s="55"/>
      <c r="H1575" s="136">
        <f t="shared" si="48"/>
        <v>0</v>
      </c>
      <c r="I1575" s="136">
        <f t="shared" si="49"/>
        <v>0</v>
      </c>
      <c r="J1575" s="73"/>
    </row>
    <row r="1576" spans="1:10" s="5" customFormat="1" hidden="1">
      <c r="A1576" s="1069"/>
      <c r="B1576" s="246"/>
      <c r="C1576" s="435"/>
      <c r="D1576" s="435"/>
      <c r="E1576" s="435"/>
      <c r="F1576" s="55"/>
      <c r="G1576" s="55"/>
      <c r="H1576" s="136">
        <f t="shared" si="48"/>
        <v>0</v>
      </c>
      <c r="I1576" s="136">
        <f t="shared" si="49"/>
        <v>0</v>
      </c>
      <c r="J1576" s="73"/>
    </row>
    <row r="1577" spans="1:10" s="5" customFormat="1" hidden="1">
      <c r="A1577" s="1069"/>
      <c r="B1577" s="246"/>
      <c r="C1577" s="435"/>
      <c r="D1577" s="435"/>
      <c r="E1577" s="435"/>
      <c r="F1577" s="55"/>
      <c r="G1577" s="55"/>
      <c r="H1577" s="136">
        <f t="shared" si="48"/>
        <v>0</v>
      </c>
      <c r="I1577" s="136">
        <f t="shared" si="49"/>
        <v>0</v>
      </c>
      <c r="J1577" s="73"/>
    </row>
    <row r="1578" spans="1:10" s="5" customFormat="1" hidden="1">
      <c r="A1578" s="1069"/>
      <c r="B1578" s="246"/>
      <c r="C1578" s="435"/>
      <c r="D1578" s="435"/>
      <c r="E1578" s="435"/>
      <c r="F1578" s="55"/>
      <c r="G1578" s="55"/>
      <c r="H1578" s="136">
        <f t="shared" si="48"/>
        <v>0</v>
      </c>
      <c r="I1578" s="136">
        <f t="shared" si="49"/>
        <v>0</v>
      </c>
      <c r="J1578" s="73"/>
    </row>
    <row r="1579" spans="1:10" s="5" customFormat="1" hidden="1">
      <c r="A1579" s="1069"/>
      <c r="B1579" s="246"/>
      <c r="C1579" s="434"/>
      <c r="D1579" s="434"/>
      <c r="E1579" s="435"/>
      <c r="F1579" s="55"/>
      <c r="G1579" s="55"/>
      <c r="H1579" s="136">
        <f t="shared" si="48"/>
        <v>0</v>
      </c>
      <c r="I1579" s="136">
        <f t="shared" si="49"/>
        <v>0</v>
      </c>
      <c r="J1579" s="73"/>
    </row>
    <row r="1580" spans="1:10" s="5" customFormat="1" hidden="1">
      <c r="A1580" s="1069"/>
      <c r="B1580" s="246"/>
      <c r="C1580" s="434"/>
      <c r="D1580" s="434"/>
      <c r="E1580" s="435"/>
      <c r="F1580" s="55"/>
      <c r="G1580" s="55"/>
      <c r="H1580" s="136">
        <f t="shared" si="48"/>
        <v>0</v>
      </c>
      <c r="I1580" s="136">
        <f t="shared" si="49"/>
        <v>0</v>
      </c>
      <c r="J1580" s="73"/>
    </row>
    <row r="1581" spans="1:10" s="5" customFormat="1" hidden="1">
      <c r="A1581" s="1069"/>
      <c r="B1581" s="246"/>
      <c r="C1581" s="434"/>
      <c r="D1581" s="434"/>
      <c r="E1581" s="435"/>
      <c r="F1581" s="55"/>
      <c r="G1581" s="55"/>
      <c r="H1581" s="136">
        <f t="shared" si="48"/>
        <v>0</v>
      </c>
      <c r="I1581" s="136">
        <f t="shared" si="49"/>
        <v>0</v>
      </c>
      <c r="J1581" s="73"/>
    </row>
    <row r="1582" spans="1:10" s="5" customFormat="1" hidden="1">
      <c r="A1582" s="1069"/>
      <c r="B1582" s="244"/>
      <c r="C1582" s="434"/>
      <c r="D1582" s="434"/>
      <c r="E1582" s="436"/>
      <c r="F1582" s="55"/>
      <c r="G1582" s="55"/>
      <c r="H1582" s="136">
        <f t="shared" si="48"/>
        <v>0</v>
      </c>
      <c r="I1582" s="136">
        <f t="shared" si="49"/>
        <v>0</v>
      </c>
      <c r="J1582" s="73"/>
    </row>
    <row r="1583" spans="1:10" s="5" customFormat="1" hidden="1">
      <c r="A1583" s="1069"/>
      <c r="B1583" s="244"/>
      <c r="C1583" s="434"/>
      <c r="D1583" s="434"/>
      <c r="E1583" s="436"/>
      <c r="F1583" s="55"/>
      <c r="G1583" s="55"/>
      <c r="H1583" s="136">
        <f t="shared" si="48"/>
        <v>0</v>
      </c>
      <c r="I1583" s="136">
        <f t="shared" si="49"/>
        <v>0</v>
      </c>
      <c r="J1583" s="73"/>
    </row>
    <row r="1584" spans="1:10" s="5" customFormat="1" hidden="1">
      <c r="A1584" s="1069"/>
      <c r="B1584" s="244"/>
      <c r="C1584" s="434"/>
      <c r="D1584" s="434"/>
      <c r="E1584" s="436"/>
      <c r="F1584" s="55"/>
      <c r="G1584" s="55"/>
      <c r="H1584" s="136">
        <f t="shared" si="48"/>
        <v>0</v>
      </c>
      <c r="I1584" s="136">
        <f t="shared" si="49"/>
        <v>0</v>
      </c>
      <c r="J1584" s="73"/>
    </row>
    <row r="1585" spans="1:10" s="5" customFormat="1" hidden="1">
      <c r="A1585" s="1069"/>
      <c r="B1585" s="244"/>
      <c r="C1585" s="434"/>
      <c r="D1585" s="434"/>
      <c r="E1585" s="436"/>
      <c r="F1585" s="55"/>
      <c r="G1585" s="55"/>
      <c r="H1585" s="136">
        <f t="shared" si="48"/>
        <v>0</v>
      </c>
      <c r="I1585" s="136">
        <f t="shared" si="49"/>
        <v>0</v>
      </c>
      <c r="J1585" s="73"/>
    </row>
    <row r="1586" spans="1:10" s="5" customFormat="1" hidden="1">
      <c r="A1586" s="1069"/>
      <c r="B1586" s="244"/>
      <c r="C1586" s="434"/>
      <c r="D1586" s="434"/>
      <c r="E1586" s="436"/>
      <c r="F1586" s="55"/>
      <c r="G1586" s="55"/>
      <c r="H1586" s="136">
        <f t="shared" si="48"/>
        <v>0</v>
      </c>
      <c r="I1586" s="136">
        <f t="shared" si="49"/>
        <v>0</v>
      </c>
      <c r="J1586" s="73"/>
    </row>
    <row r="1587" spans="1:10" s="5" customFormat="1" hidden="1">
      <c r="A1587" s="1069"/>
      <c r="B1587" s="244"/>
      <c r="C1587" s="434"/>
      <c r="D1587" s="434"/>
      <c r="E1587" s="436"/>
      <c r="F1587" s="55"/>
      <c r="G1587" s="55"/>
      <c r="H1587" s="136">
        <f t="shared" si="48"/>
        <v>0</v>
      </c>
      <c r="I1587" s="136">
        <f t="shared" si="49"/>
        <v>0</v>
      </c>
      <c r="J1587" s="73"/>
    </row>
    <row r="1588" spans="1:10" s="5" customFormat="1" hidden="1">
      <c r="A1588" s="1069"/>
      <c r="B1588" s="244"/>
      <c r="C1588" s="434"/>
      <c r="D1588" s="434"/>
      <c r="E1588" s="436"/>
      <c r="F1588" s="55"/>
      <c r="G1588" s="55"/>
      <c r="H1588" s="136">
        <f t="shared" si="48"/>
        <v>0</v>
      </c>
      <c r="I1588" s="136">
        <f t="shared" si="49"/>
        <v>0</v>
      </c>
      <c r="J1588" s="73"/>
    </row>
    <row r="1589" spans="1:10" s="5" customFormat="1" hidden="1">
      <c r="A1589" s="1069"/>
      <c r="B1589" s="244"/>
      <c r="C1589" s="434"/>
      <c r="D1589" s="434"/>
      <c r="E1589" s="436"/>
      <c r="F1589" s="55"/>
      <c r="G1589" s="55"/>
      <c r="H1589" s="136">
        <f t="shared" si="48"/>
        <v>0</v>
      </c>
      <c r="I1589" s="136">
        <f t="shared" si="49"/>
        <v>0</v>
      </c>
      <c r="J1589" s="73"/>
    </row>
    <row r="1590" spans="1:10" s="5" customFormat="1" hidden="1">
      <c r="A1590" s="1069"/>
      <c r="B1590" s="244"/>
      <c r="C1590" s="434"/>
      <c r="D1590" s="434"/>
      <c r="E1590" s="436"/>
      <c r="F1590" s="55"/>
      <c r="G1590" s="55"/>
      <c r="H1590" s="136">
        <f t="shared" si="48"/>
        <v>0</v>
      </c>
      <c r="I1590" s="136">
        <f t="shared" si="49"/>
        <v>0</v>
      </c>
      <c r="J1590" s="73"/>
    </row>
    <row r="1591" spans="1:10" s="5" customFormat="1" hidden="1">
      <c r="A1591" s="1069"/>
      <c r="B1591" s="244"/>
      <c r="C1591" s="383"/>
      <c r="D1591" s="430"/>
      <c r="E1591" s="430"/>
      <c r="F1591" s="55"/>
      <c r="G1591" s="55"/>
      <c r="H1591" s="136">
        <f t="shared" si="48"/>
        <v>0</v>
      </c>
      <c r="I1591" s="136">
        <f t="shared" si="49"/>
        <v>0</v>
      </c>
      <c r="J1591" s="73"/>
    </row>
    <row r="1592" spans="1:10" s="5" customFormat="1" hidden="1">
      <c r="A1592" s="1069"/>
      <c r="B1592" s="244"/>
      <c r="C1592" s="434"/>
      <c r="D1592" s="434"/>
      <c r="E1592" s="436"/>
      <c r="F1592" s="55"/>
      <c r="G1592" s="55"/>
      <c r="H1592" s="136">
        <f t="shared" si="48"/>
        <v>0</v>
      </c>
      <c r="I1592" s="136">
        <f t="shared" si="49"/>
        <v>0</v>
      </c>
      <c r="J1592" s="73"/>
    </row>
    <row r="1593" spans="1:10" s="5" customFormat="1" hidden="1">
      <c r="A1593" s="1069"/>
      <c r="B1593" s="244"/>
      <c r="C1593" s="434"/>
      <c r="D1593" s="434"/>
      <c r="E1593" s="436"/>
      <c r="F1593" s="55"/>
      <c r="G1593" s="55"/>
      <c r="H1593" s="136">
        <f t="shared" si="48"/>
        <v>0</v>
      </c>
      <c r="I1593" s="136">
        <f t="shared" si="49"/>
        <v>0</v>
      </c>
      <c r="J1593" s="73"/>
    </row>
    <row r="1594" spans="1:10" s="5" customFormat="1" hidden="1">
      <c r="A1594" s="1069"/>
      <c r="B1594" s="244"/>
      <c r="C1594" s="434"/>
      <c r="D1594" s="434"/>
      <c r="E1594" s="436"/>
      <c r="F1594" s="55"/>
      <c r="G1594" s="55"/>
      <c r="H1594" s="136">
        <f t="shared" si="48"/>
        <v>0</v>
      </c>
      <c r="I1594" s="136">
        <f t="shared" si="49"/>
        <v>0</v>
      </c>
      <c r="J1594" s="73"/>
    </row>
    <row r="1595" spans="1:10" s="5" customFormat="1" hidden="1">
      <c r="A1595" s="1069"/>
      <c r="B1595" s="244"/>
      <c r="C1595" s="434"/>
      <c r="D1595" s="434"/>
      <c r="E1595" s="436"/>
      <c r="F1595" s="55"/>
      <c r="G1595" s="55"/>
      <c r="H1595" s="136">
        <f t="shared" si="48"/>
        <v>0</v>
      </c>
      <c r="I1595" s="136">
        <f t="shared" si="49"/>
        <v>0</v>
      </c>
      <c r="J1595" s="73"/>
    </row>
    <row r="1596" spans="1:10" s="5" customFormat="1" hidden="1">
      <c r="A1596" s="1069"/>
      <c r="B1596" s="244"/>
      <c r="C1596" s="434"/>
      <c r="D1596" s="434"/>
      <c r="E1596" s="436"/>
      <c r="F1596" s="55"/>
      <c r="G1596" s="55"/>
      <c r="H1596" s="136">
        <f t="shared" si="48"/>
        <v>0</v>
      </c>
      <c r="I1596" s="136">
        <f t="shared" si="49"/>
        <v>0</v>
      </c>
      <c r="J1596" s="73"/>
    </row>
    <row r="1597" spans="1:10" s="5" customFormat="1" hidden="1">
      <c r="A1597" s="1069"/>
      <c r="B1597" s="244"/>
      <c r="C1597" s="434"/>
      <c r="D1597" s="434"/>
      <c r="E1597" s="436"/>
      <c r="F1597" s="55"/>
      <c r="G1597" s="55"/>
      <c r="H1597" s="136">
        <f t="shared" si="48"/>
        <v>0</v>
      </c>
      <c r="I1597" s="136">
        <f t="shared" si="49"/>
        <v>0</v>
      </c>
      <c r="J1597" s="73"/>
    </row>
    <row r="1598" spans="1:10" s="5" customFormat="1" hidden="1">
      <c r="A1598" s="1069"/>
      <c r="B1598" s="244"/>
      <c r="C1598" s="434"/>
      <c r="D1598" s="434"/>
      <c r="E1598" s="436"/>
      <c r="F1598" s="55"/>
      <c r="G1598" s="55"/>
      <c r="H1598" s="136">
        <f t="shared" si="48"/>
        <v>0</v>
      </c>
      <c r="I1598" s="136">
        <f t="shared" si="49"/>
        <v>0</v>
      </c>
      <c r="J1598" s="73"/>
    </row>
    <row r="1599" spans="1:10" s="5" customFormat="1" hidden="1">
      <c r="A1599" s="1069"/>
      <c r="B1599" s="244"/>
      <c r="C1599" s="434"/>
      <c r="D1599" s="434"/>
      <c r="E1599" s="436"/>
      <c r="F1599" s="55"/>
      <c r="G1599" s="55"/>
      <c r="H1599" s="136">
        <f t="shared" si="48"/>
        <v>0</v>
      </c>
      <c r="I1599" s="136">
        <f t="shared" si="49"/>
        <v>0</v>
      </c>
      <c r="J1599" s="73"/>
    </row>
    <row r="1600" spans="1:10" s="5" customFormat="1" hidden="1">
      <c r="A1600" s="1069"/>
      <c r="B1600" s="244"/>
      <c r="C1600" s="434"/>
      <c r="D1600" s="434"/>
      <c r="E1600" s="436"/>
      <c r="F1600" s="55"/>
      <c r="G1600" s="55"/>
      <c r="H1600" s="136">
        <f t="shared" si="48"/>
        <v>0</v>
      </c>
      <c r="I1600" s="136">
        <f t="shared" si="49"/>
        <v>0</v>
      </c>
      <c r="J1600" s="73"/>
    </row>
    <row r="1601" spans="1:10" s="5" customFormat="1" hidden="1">
      <c r="A1601" s="1069"/>
      <c r="B1601" s="244"/>
      <c r="C1601" s="434"/>
      <c r="D1601" s="434"/>
      <c r="E1601" s="436"/>
      <c r="F1601" s="55"/>
      <c r="G1601" s="55"/>
      <c r="H1601" s="136">
        <f t="shared" si="48"/>
        <v>0</v>
      </c>
      <c r="I1601" s="136">
        <f t="shared" si="49"/>
        <v>0</v>
      </c>
      <c r="J1601" s="73"/>
    </row>
    <row r="1602" spans="1:10" s="5" customFormat="1" hidden="1">
      <c r="A1602" s="1069"/>
      <c r="B1602" s="244"/>
      <c r="C1602" s="434"/>
      <c r="D1602" s="434"/>
      <c r="E1602" s="436"/>
      <c r="F1602" s="55"/>
      <c r="G1602" s="55"/>
      <c r="H1602" s="136">
        <f t="shared" si="48"/>
        <v>0</v>
      </c>
      <c r="I1602" s="136">
        <f t="shared" si="49"/>
        <v>0</v>
      </c>
      <c r="J1602" s="73"/>
    </row>
    <row r="1603" spans="1:10" s="5" customFormat="1" hidden="1">
      <c r="A1603" s="1069"/>
      <c r="B1603" s="244"/>
      <c r="C1603" s="434"/>
      <c r="D1603" s="434"/>
      <c r="E1603" s="436"/>
      <c r="F1603" s="55"/>
      <c r="G1603" s="55"/>
      <c r="H1603" s="136">
        <f t="shared" si="48"/>
        <v>0</v>
      </c>
      <c r="I1603" s="136">
        <f t="shared" si="49"/>
        <v>0</v>
      </c>
      <c r="J1603" s="73"/>
    </row>
    <row r="1604" spans="1:10" s="5" customFormat="1" hidden="1">
      <c r="A1604" s="1069"/>
      <c r="B1604" s="244"/>
      <c r="C1604" s="383"/>
      <c r="D1604" s="433"/>
      <c r="E1604" s="433"/>
      <c r="F1604" s="55"/>
      <c r="G1604" s="55"/>
      <c r="H1604" s="136">
        <f t="shared" si="48"/>
        <v>0</v>
      </c>
      <c r="I1604" s="136">
        <f t="shared" si="49"/>
        <v>0</v>
      </c>
      <c r="J1604" s="73"/>
    </row>
    <row r="1605" spans="1:10">
      <c r="A1605" s="1068"/>
      <c r="B1605" s="461" t="s">
        <v>253</v>
      </c>
      <c r="C1605" s="470">
        <f>SUM(C1558:C1604)</f>
        <v>765580</v>
      </c>
      <c r="D1605" s="470">
        <f>SUM(D1558:D1604)</f>
        <v>0</v>
      </c>
      <c r="E1605" s="470">
        <f>SUM(E1558:E1604)</f>
        <v>765580</v>
      </c>
      <c r="F1605" s="75">
        <f>SUM(F1558:F1604)</f>
        <v>0</v>
      </c>
      <c r="G1605" s="75">
        <f>SUM(G1558:G1604)</f>
        <v>0</v>
      </c>
      <c r="H1605" s="459">
        <f t="shared" si="48"/>
        <v>0</v>
      </c>
      <c r="I1605" s="459">
        <f t="shared" si="49"/>
        <v>1531160</v>
      </c>
      <c r="J1605" s="460"/>
    </row>
    <row r="1606" spans="1:10" s="460" customFormat="1" ht="93.75">
      <c r="A1606" s="1068" t="s">
        <v>46</v>
      </c>
      <c r="B1606" s="310" t="s">
        <v>1819</v>
      </c>
      <c r="C1606" s="453">
        <v>45200</v>
      </c>
      <c r="D1606" s="453"/>
      <c r="E1606" s="453">
        <v>45200</v>
      </c>
      <c r="F1606" s="155"/>
      <c r="G1606" s="155"/>
      <c r="H1606" s="459">
        <f t="shared" si="48"/>
        <v>0</v>
      </c>
      <c r="I1606" s="459">
        <f t="shared" si="49"/>
        <v>90400</v>
      </c>
    </row>
    <row r="1607" spans="1:10" ht="131.25">
      <c r="A1607" s="1068"/>
      <c r="B1607" s="310" t="s">
        <v>1681</v>
      </c>
      <c r="C1607" s="455">
        <v>4572</v>
      </c>
      <c r="D1607" s="456"/>
      <c r="E1607" s="456">
        <v>4572</v>
      </c>
      <c r="F1607" s="365"/>
      <c r="G1607" s="365"/>
      <c r="H1607" s="459">
        <f t="shared" si="48"/>
        <v>0</v>
      </c>
      <c r="I1607" s="459">
        <f t="shared" si="49"/>
        <v>9144</v>
      </c>
      <c r="J1607" s="460"/>
    </row>
    <row r="1608" spans="1:10" s="5" customFormat="1" hidden="1">
      <c r="A1608" s="1069"/>
      <c r="B1608" s="244"/>
      <c r="C1608" s="430"/>
      <c r="D1608" s="430"/>
      <c r="E1608" s="430"/>
      <c r="F1608" s="55"/>
      <c r="G1608" s="55"/>
      <c r="H1608" s="136">
        <f t="shared" si="48"/>
        <v>0</v>
      </c>
      <c r="I1608" s="136">
        <f t="shared" si="49"/>
        <v>0</v>
      </c>
      <c r="J1608" s="73"/>
    </row>
    <row r="1609" spans="1:10" s="5" customFormat="1" hidden="1">
      <c r="A1609" s="1069"/>
      <c r="B1609" s="244"/>
      <c r="C1609" s="430"/>
      <c r="D1609" s="430"/>
      <c r="E1609" s="430"/>
      <c r="F1609" s="55"/>
      <c r="G1609" s="55"/>
      <c r="H1609" s="136">
        <f t="shared" ref="H1609:H1672" si="50">E1609+D1609-C1609</f>
        <v>0</v>
      </c>
      <c r="I1609" s="136">
        <f t="shared" ref="I1609:I1672" si="51">SUM(C1609:E1609)</f>
        <v>0</v>
      </c>
      <c r="J1609" s="73"/>
    </row>
    <row r="1610" spans="1:10" s="5" customFormat="1" hidden="1">
      <c r="A1610" s="1069"/>
      <c r="B1610" s="244"/>
      <c r="C1610" s="430"/>
      <c r="D1610" s="430"/>
      <c r="E1610" s="430"/>
      <c r="F1610" s="55"/>
      <c r="G1610" s="55"/>
      <c r="H1610" s="136">
        <f t="shared" si="50"/>
        <v>0</v>
      </c>
      <c r="I1610" s="136">
        <f t="shared" si="51"/>
        <v>0</v>
      </c>
      <c r="J1610" s="73"/>
    </row>
    <row r="1611" spans="1:10" s="5" customFormat="1" hidden="1">
      <c r="A1611" s="1069"/>
      <c r="B1611" s="244"/>
      <c r="C1611" s="383"/>
      <c r="D1611" s="383"/>
      <c r="E1611" s="430"/>
      <c r="F1611" s="55"/>
      <c r="G1611" s="55"/>
      <c r="H1611" s="136">
        <f t="shared" si="50"/>
        <v>0</v>
      </c>
      <c r="I1611" s="136">
        <f t="shared" si="51"/>
        <v>0</v>
      </c>
      <c r="J1611" s="73"/>
    </row>
    <row r="1612" spans="1:10" s="5" customFormat="1" hidden="1">
      <c r="A1612" s="1069"/>
      <c r="B1612" s="244"/>
      <c r="C1612" s="383"/>
      <c r="D1612" s="383"/>
      <c r="E1612" s="430"/>
      <c r="F1612" s="55"/>
      <c r="G1612" s="55"/>
      <c r="H1612" s="136">
        <f t="shared" si="50"/>
        <v>0</v>
      </c>
      <c r="I1612" s="136">
        <f t="shared" si="51"/>
        <v>0</v>
      </c>
      <c r="J1612" s="73"/>
    </row>
    <row r="1613" spans="1:10" s="5" customFormat="1" hidden="1">
      <c r="A1613" s="1069"/>
      <c r="B1613" s="244"/>
      <c r="C1613" s="383"/>
      <c r="D1613" s="383"/>
      <c r="E1613" s="430"/>
      <c r="F1613" s="55"/>
      <c r="G1613" s="55"/>
      <c r="H1613" s="136">
        <f t="shared" si="50"/>
        <v>0</v>
      </c>
      <c r="I1613" s="136">
        <f t="shared" si="51"/>
        <v>0</v>
      </c>
      <c r="J1613" s="73"/>
    </row>
    <row r="1614" spans="1:10" s="5" customFormat="1" hidden="1">
      <c r="A1614" s="1069"/>
      <c r="B1614" s="244"/>
      <c r="C1614" s="430"/>
      <c r="D1614" s="430"/>
      <c r="E1614" s="430"/>
      <c r="F1614" s="55"/>
      <c r="G1614" s="55"/>
      <c r="H1614" s="136">
        <f t="shared" si="50"/>
        <v>0</v>
      </c>
      <c r="I1614" s="136">
        <f t="shared" si="51"/>
        <v>0</v>
      </c>
      <c r="J1614" s="73"/>
    </row>
    <row r="1615" spans="1:10" s="5" customFormat="1" hidden="1">
      <c r="A1615" s="1069"/>
      <c r="B1615" s="244"/>
      <c r="C1615" s="383"/>
      <c r="D1615" s="383"/>
      <c r="E1615" s="430"/>
      <c r="F1615" s="55"/>
      <c r="G1615" s="55"/>
      <c r="H1615" s="136">
        <f t="shared" si="50"/>
        <v>0</v>
      </c>
      <c r="I1615" s="136">
        <f t="shared" si="51"/>
        <v>0</v>
      </c>
      <c r="J1615" s="73"/>
    </row>
    <row r="1616" spans="1:10" s="5" customFormat="1" hidden="1">
      <c r="A1616" s="1069"/>
      <c r="B1616" s="244"/>
      <c r="C1616" s="383"/>
      <c r="D1616" s="383"/>
      <c r="E1616" s="430"/>
      <c r="F1616" s="55"/>
      <c r="G1616" s="55"/>
      <c r="H1616" s="136">
        <f t="shared" si="50"/>
        <v>0</v>
      </c>
      <c r="I1616" s="136">
        <f t="shared" si="51"/>
        <v>0</v>
      </c>
      <c r="J1616" s="73"/>
    </row>
    <row r="1617" spans="1:10" s="5" customFormat="1" hidden="1">
      <c r="A1617" s="1069"/>
      <c r="B1617" s="244"/>
      <c r="C1617" s="383"/>
      <c r="D1617" s="383"/>
      <c r="E1617" s="430"/>
      <c r="F1617" s="55"/>
      <c r="G1617" s="55"/>
      <c r="H1617" s="136">
        <f t="shared" si="50"/>
        <v>0</v>
      </c>
      <c r="I1617" s="136">
        <f t="shared" si="51"/>
        <v>0</v>
      </c>
      <c r="J1617" s="73"/>
    </row>
    <row r="1618" spans="1:10" s="5" customFormat="1" hidden="1">
      <c r="A1618" s="1069"/>
      <c r="B1618" s="244"/>
      <c r="C1618" s="383"/>
      <c r="D1618" s="383"/>
      <c r="E1618" s="430"/>
      <c r="F1618" s="55"/>
      <c r="G1618" s="55"/>
      <c r="H1618" s="136">
        <f t="shared" si="50"/>
        <v>0</v>
      </c>
      <c r="I1618" s="136">
        <f t="shared" si="51"/>
        <v>0</v>
      </c>
      <c r="J1618" s="73"/>
    </row>
    <row r="1619" spans="1:10" s="5" customFormat="1" hidden="1">
      <c r="A1619" s="1069"/>
      <c r="B1619" s="244"/>
      <c r="C1619" s="383"/>
      <c r="D1619" s="430"/>
      <c r="E1619" s="430"/>
      <c r="F1619" s="55"/>
      <c r="G1619" s="55"/>
      <c r="H1619" s="136">
        <f t="shared" si="50"/>
        <v>0</v>
      </c>
      <c r="I1619" s="136">
        <f t="shared" si="51"/>
        <v>0</v>
      </c>
      <c r="J1619" s="73"/>
    </row>
    <row r="1620" spans="1:10" s="5" customFormat="1" hidden="1">
      <c r="A1620" s="1069"/>
      <c r="B1620" s="244"/>
      <c r="C1620" s="383"/>
      <c r="D1620" s="383"/>
      <c r="E1620" s="433"/>
      <c r="F1620" s="55"/>
      <c r="G1620" s="55"/>
      <c r="H1620" s="136">
        <f t="shared" si="50"/>
        <v>0</v>
      </c>
      <c r="I1620" s="136">
        <f t="shared" si="51"/>
        <v>0</v>
      </c>
      <c r="J1620" s="73"/>
    </row>
    <row r="1621" spans="1:10" s="5" customFormat="1" hidden="1">
      <c r="A1621" s="1069"/>
      <c r="B1621" s="246"/>
      <c r="C1621" s="435"/>
      <c r="D1621" s="435"/>
      <c r="E1621" s="435"/>
      <c r="F1621" s="55"/>
      <c r="G1621" s="55"/>
      <c r="H1621" s="136">
        <f t="shared" si="50"/>
        <v>0</v>
      </c>
      <c r="I1621" s="136">
        <f t="shared" si="51"/>
        <v>0</v>
      </c>
      <c r="J1621" s="73"/>
    </row>
    <row r="1622" spans="1:10" s="5" customFormat="1" hidden="1">
      <c r="A1622" s="1069"/>
      <c r="B1622" s="246"/>
      <c r="C1622" s="435"/>
      <c r="D1622" s="435"/>
      <c r="E1622" s="435"/>
      <c r="F1622" s="55"/>
      <c r="G1622" s="55"/>
      <c r="H1622" s="136">
        <f t="shared" si="50"/>
        <v>0</v>
      </c>
      <c r="I1622" s="136">
        <f t="shared" si="51"/>
        <v>0</v>
      </c>
      <c r="J1622" s="73"/>
    </row>
    <row r="1623" spans="1:10" s="5" customFormat="1" hidden="1">
      <c r="A1623" s="1069"/>
      <c r="B1623" s="246"/>
      <c r="C1623" s="435"/>
      <c r="D1623" s="435"/>
      <c r="E1623" s="435"/>
      <c r="F1623" s="55"/>
      <c r="G1623" s="55"/>
      <c r="H1623" s="136">
        <f t="shared" si="50"/>
        <v>0</v>
      </c>
      <c r="I1623" s="136">
        <f t="shared" si="51"/>
        <v>0</v>
      </c>
      <c r="J1623" s="73"/>
    </row>
    <row r="1624" spans="1:10" s="5" customFormat="1" hidden="1">
      <c r="A1624" s="1069"/>
      <c r="B1624" s="246"/>
      <c r="C1624" s="435"/>
      <c r="D1624" s="435"/>
      <c r="E1624" s="435"/>
      <c r="F1624" s="55"/>
      <c r="G1624" s="55"/>
      <c r="H1624" s="136">
        <f t="shared" si="50"/>
        <v>0</v>
      </c>
      <c r="I1624" s="136">
        <f t="shared" si="51"/>
        <v>0</v>
      </c>
      <c r="J1624" s="73"/>
    </row>
    <row r="1625" spans="1:10" s="5" customFormat="1" hidden="1">
      <c r="A1625" s="1069"/>
      <c r="B1625" s="246"/>
      <c r="C1625" s="435"/>
      <c r="D1625" s="435"/>
      <c r="E1625" s="435"/>
      <c r="F1625" s="55"/>
      <c r="G1625" s="55"/>
      <c r="H1625" s="136">
        <f t="shared" si="50"/>
        <v>0</v>
      </c>
      <c r="I1625" s="136">
        <f t="shared" si="51"/>
        <v>0</v>
      </c>
      <c r="J1625" s="73"/>
    </row>
    <row r="1626" spans="1:10" s="5" customFormat="1" hidden="1">
      <c r="A1626" s="1069"/>
      <c r="B1626" s="246"/>
      <c r="C1626" s="435"/>
      <c r="D1626" s="435"/>
      <c r="E1626" s="435"/>
      <c r="F1626" s="55"/>
      <c r="G1626" s="55"/>
      <c r="H1626" s="136">
        <f t="shared" si="50"/>
        <v>0</v>
      </c>
      <c r="I1626" s="136">
        <f t="shared" si="51"/>
        <v>0</v>
      </c>
      <c r="J1626" s="73"/>
    </row>
    <row r="1627" spans="1:10" s="5" customFormat="1" hidden="1">
      <c r="A1627" s="1069"/>
      <c r="B1627" s="246"/>
      <c r="C1627" s="434"/>
      <c r="D1627" s="434"/>
      <c r="E1627" s="435"/>
      <c r="F1627" s="55"/>
      <c r="G1627" s="55"/>
      <c r="H1627" s="136">
        <f t="shared" si="50"/>
        <v>0</v>
      </c>
      <c r="I1627" s="136">
        <f t="shared" si="51"/>
        <v>0</v>
      </c>
      <c r="J1627" s="73"/>
    </row>
    <row r="1628" spans="1:10" s="5" customFormat="1" hidden="1">
      <c r="A1628" s="1069"/>
      <c r="B1628" s="246"/>
      <c r="C1628" s="434"/>
      <c r="D1628" s="434"/>
      <c r="E1628" s="435"/>
      <c r="F1628" s="55"/>
      <c r="G1628" s="55"/>
      <c r="H1628" s="136">
        <f t="shared" si="50"/>
        <v>0</v>
      </c>
      <c r="I1628" s="136">
        <f t="shared" si="51"/>
        <v>0</v>
      </c>
      <c r="J1628" s="73"/>
    </row>
    <row r="1629" spans="1:10" s="5" customFormat="1" ht="90" hidden="1" customHeight="1">
      <c r="A1629" s="1069"/>
      <c r="B1629" s="246"/>
      <c r="C1629" s="434"/>
      <c r="D1629" s="434"/>
      <c r="E1629" s="435"/>
      <c r="F1629" s="55"/>
      <c r="G1629" s="55"/>
      <c r="H1629" s="136">
        <f t="shared" si="50"/>
        <v>0</v>
      </c>
      <c r="I1629" s="136">
        <f t="shared" si="51"/>
        <v>0</v>
      </c>
      <c r="J1629" s="73"/>
    </row>
    <row r="1630" spans="1:10" s="5" customFormat="1" hidden="1">
      <c r="A1630" s="1069"/>
      <c r="B1630" s="244"/>
      <c r="C1630" s="434"/>
      <c r="D1630" s="434"/>
      <c r="E1630" s="436"/>
      <c r="F1630" s="55"/>
      <c r="G1630" s="55"/>
      <c r="H1630" s="136">
        <f t="shared" si="50"/>
        <v>0</v>
      </c>
      <c r="I1630" s="136">
        <f t="shared" si="51"/>
        <v>0</v>
      </c>
      <c r="J1630" s="73"/>
    </row>
    <row r="1631" spans="1:10" s="5" customFormat="1" hidden="1">
      <c r="A1631" s="1069"/>
      <c r="B1631" s="244"/>
      <c r="C1631" s="434"/>
      <c r="D1631" s="434"/>
      <c r="E1631" s="436"/>
      <c r="F1631" s="55"/>
      <c r="G1631" s="55"/>
      <c r="H1631" s="136">
        <f t="shared" si="50"/>
        <v>0</v>
      </c>
      <c r="I1631" s="136">
        <f t="shared" si="51"/>
        <v>0</v>
      </c>
      <c r="J1631" s="73"/>
    </row>
    <row r="1632" spans="1:10" s="5" customFormat="1" hidden="1">
      <c r="A1632" s="1069"/>
      <c r="B1632" s="244"/>
      <c r="C1632" s="434"/>
      <c r="D1632" s="434"/>
      <c r="E1632" s="436"/>
      <c r="F1632" s="55"/>
      <c r="G1632" s="55"/>
      <c r="H1632" s="136">
        <f t="shared" si="50"/>
        <v>0</v>
      </c>
      <c r="I1632" s="136">
        <f t="shared" si="51"/>
        <v>0</v>
      </c>
      <c r="J1632" s="73"/>
    </row>
    <row r="1633" spans="1:10" s="5" customFormat="1" hidden="1">
      <c r="A1633" s="1069"/>
      <c r="B1633" s="244"/>
      <c r="C1633" s="434"/>
      <c r="D1633" s="434"/>
      <c r="E1633" s="436"/>
      <c r="F1633" s="55"/>
      <c r="G1633" s="55"/>
      <c r="H1633" s="136">
        <f t="shared" si="50"/>
        <v>0</v>
      </c>
      <c r="I1633" s="136">
        <f t="shared" si="51"/>
        <v>0</v>
      </c>
      <c r="J1633" s="73"/>
    </row>
    <row r="1634" spans="1:10" s="5" customFormat="1" hidden="1">
      <c r="A1634" s="1069"/>
      <c r="B1634" s="244"/>
      <c r="C1634" s="434"/>
      <c r="D1634" s="434"/>
      <c r="E1634" s="436"/>
      <c r="F1634" s="55"/>
      <c r="G1634" s="55"/>
      <c r="H1634" s="136">
        <f t="shared" si="50"/>
        <v>0</v>
      </c>
      <c r="I1634" s="136">
        <f t="shared" si="51"/>
        <v>0</v>
      </c>
      <c r="J1634" s="73"/>
    </row>
    <row r="1635" spans="1:10" s="5" customFormat="1" hidden="1">
      <c r="A1635" s="1069"/>
      <c r="B1635" s="244"/>
      <c r="C1635" s="434"/>
      <c r="D1635" s="434"/>
      <c r="E1635" s="436"/>
      <c r="F1635" s="55"/>
      <c r="G1635" s="55"/>
      <c r="H1635" s="136">
        <f t="shared" si="50"/>
        <v>0</v>
      </c>
      <c r="I1635" s="136">
        <f t="shared" si="51"/>
        <v>0</v>
      </c>
      <c r="J1635" s="73"/>
    </row>
    <row r="1636" spans="1:10" s="5" customFormat="1" hidden="1">
      <c r="A1636" s="1069"/>
      <c r="B1636" s="244"/>
      <c r="C1636" s="434"/>
      <c r="D1636" s="434"/>
      <c r="E1636" s="436"/>
      <c r="F1636" s="55"/>
      <c r="G1636" s="55"/>
      <c r="H1636" s="136">
        <f t="shared" si="50"/>
        <v>0</v>
      </c>
      <c r="I1636" s="136">
        <f t="shared" si="51"/>
        <v>0</v>
      </c>
      <c r="J1636" s="73"/>
    </row>
    <row r="1637" spans="1:10" s="5" customFormat="1" hidden="1">
      <c r="A1637" s="1069"/>
      <c r="B1637" s="244"/>
      <c r="C1637" s="434"/>
      <c r="D1637" s="434"/>
      <c r="E1637" s="436"/>
      <c r="F1637" s="55"/>
      <c r="G1637" s="55"/>
      <c r="H1637" s="136">
        <f t="shared" si="50"/>
        <v>0</v>
      </c>
      <c r="I1637" s="136">
        <f t="shared" si="51"/>
        <v>0</v>
      </c>
      <c r="J1637" s="73"/>
    </row>
    <row r="1638" spans="1:10" s="5" customFormat="1" hidden="1">
      <c r="A1638" s="1069"/>
      <c r="B1638" s="244"/>
      <c r="C1638" s="434"/>
      <c r="D1638" s="434"/>
      <c r="E1638" s="436"/>
      <c r="F1638" s="55"/>
      <c r="G1638" s="55"/>
      <c r="H1638" s="136">
        <f t="shared" si="50"/>
        <v>0</v>
      </c>
      <c r="I1638" s="136">
        <f t="shared" si="51"/>
        <v>0</v>
      </c>
      <c r="J1638" s="73"/>
    </row>
    <row r="1639" spans="1:10" s="5" customFormat="1" hidden="1">
      <c r="A1639" s="1069"/>
      <c r="B1639" s="244"/>
      <c r="C1639" s="383"/>
      <c r="D1639" s="430"/>
      <c r="E1639" s="430"/>
      <c r="F1639" s="55"/>
      <c r="G1639" s="55"/>
      <c r="H1639" s="136">
        <f t="shared" si="50"/>
        <v>0</v>
      </c>
      <c r="I1639" s="136">
        <f t="shared" si="51"/>
        <v>0</v>
      </c>
      <c r="J1639" s="73"/>
    </row>
    <row r="1640" spans="1:10" s="5" customFormat="1" hidden="1">
      <c r="A1640" s="1069"/>
      <c r="B1640" s="244"/>
      <c r="C1640" s="434"/>
      <c r="D1640" s="434"/>
      <c r="E1640" s="436"/>
      <c r="F1640" s="55"/>
      <c r="G1640" s="55"/>
      <c r="H1640" s="136">
        <f t="shared" si="50"/>
        <v>0</v>
      </c>
      <c r="I1640" s="136">
        <f t="shared" si="51"/>
        <v>0</v>
      </c>
      <c r="J1640" s="73"/>
    </row>
    <row r="1641" spans="1:10" s="5" customFormat="1" hidden="1">
      <c r="A1641" s="1069"/>
      <c r="B1641" s="244"/>
      <c r="C1641" s="434"/>
      <c r="D1641" s="434"/>
      <c r="E1641" s="436"/>
      <c r="F1641" s="55"/>
      <c r="G1641" s="55"/>
      <c r="H1641" s="136">
        <f t="shared" si="50"/>
        <v>0</v>
      </c>
      <c r="I1641" s="136">
        <f t="shared" si="51"/>
        <v>0</v>
      </c>
      <c r="J1641" s="73"/>
    </row>
    <row r="1642" spans="1:10" s="5" customFormat="1" hidden="1">
      <c r="A1642" s="1069"/>
      <c r="B1642" s="244"/>
      <c r="C1642" s="434"/>
      <c r="D1642" s="434"/>
      <c r="E1642" s="436"/>
      <c r="F1642" s="55"/>
      <c r="G1642" s="55"/>
      <c r="H1642" s="136">
        <f t="shared" si="50"/>
        <v>0</v>
      </c>
      <c r="I1642" s="136">
        <f t="shared" si="51"/>
        <v>0</v>
      </c>
      <c r="J1642" s="73"/>
    </row>
    <row r="1643" spans="1:10" s="5" customFormat="1" hidden="1">
      <c r="A1643" s="1069"/>
      <c r="B1643" s="244"/>
      <c r="C1643" s="434"/>
      <c r="D1643" s="434"/>
      <c r="E1643" s="436"/>
      <c r="F1643" s="55"/>
      <c r="G1643" s="55"/>
      <c r="H1643" s="136">
        <f t="shared" si="50"/>
        <v>0</v>
      </c>
      <c r="I1643" s="136">
        <f t="shared" si="51"/>
        <v>0</v>
      </c>
      <c r="J1643" s="73"/>
    </row>
    <row r="1644" spans="1:10" s="5" customFormat="1" hidden="1">
      <c r="A1644" s="1069"/>
      <c r="B1644" s="244"/>
      <c r="C1644" s="434"/>
      <c r="D1644" s="434"/>
      <c r="E1644" s="436"/>
      <c r="F1644" s="55"/>
      <c r="G1644" s="55"/>
      <c r="H1644" s="136">
        <f t="shared" si="50"/>
        <v>0</v>
      </c>
      <c r="I1644" s="136">
        <f t="shared" si="51"/>
        <v>0</v>
      </c>
      <c r="J1644" s="73"/>
    </row>
    <row r="1645" spans="1:10" s="5" customFormat="1" hidden="1">
      <c r="A1645" s="1069"/>
      <c r="B1645" s="244"/>
      <c r="C1645" s="434"/>
      <c r="D1645" s="434"/>
      <c r="E1645" s="436"/>
      <c r="F1645" s="55"/>
      <c r="G1645" s="55"/>
      <c r="H1645" s="136">
        <f t="shared" si="50"/>
        <v>0</v>
      </c>
      <c r="I1645" s="136">
        <f t="shared" si="51"/>
        <v>0</v>
      </c>
      <c r="J1645" s="73"/>
    </row>
    <row r="1646" spans="1:10" s="5" customFormat="1" hidden="1">
      <c r="A1646" s="1069"/>
      <c r="B1646" s="244"/>
      <c r="C1646" s="434"/>
      <c r="D1646" s="434"/>
      <c r="E1646" s="436"/>
      <c r="F1646" s="55"/>
      <c r="G1646" s="55"/>
      <c r="H1646" s="136">
        <f t="shared" si="50"/>
        <v>0</v>
      </c>
      <c r="I1646" s="136">
        <f t="shared" si="51"/>
        <v>0</v>
      </c>
      <c r="J1646" s="73"/>
    </row>
    <row r="1647" spans="1:10" s="5" customFormat="1" hidden="1">
      <c r="A1647" s="1069"/>
      <c r="B1647" s="244"/>
      <c r="C1647" s="434"/>
      <c r="D1647" s="434"/>
      <c r="E1647" s="436"/>
      <c r="F1647" s="55"/>
      <c r="G1647" s="55"/>
      <c r="H1647" s="136">
        <f t="shared" si="50"/>
        <v>0</v>
      </c>
      <c r="I1647" s="136">
        <f t="shared" si="51"/>
        <v>0</v>
      </c>
      <c r="J1647" s="73"/>
    </row>
    <row r="1648" spans="1:10" s="5" customFormat="1" hidden="1">
      <c r="A1648" s="1069"/>
      <c r="B1648" s="244"/>
      <c r="C1648" s="434"/>
      <c r="D1648" s="434"/>
      <c r="E1648" s="436"/>
      <c r="F1648" s="55"/>
      <c r="G1648" s="55"/>
      <c r="H1648" s="136">
        <f t="shared" si="50"/>
        <v>0</v>
      </c>
      <c r="I1648" s="136">
        <f t="shared" si="51"/>
        <v>0</v>
      </c>
      <c r="J1648" s="73"/>
    </row>
    <row r="1649" spans="1:10" s="5" customFormat="1" hidden="1">
      <c r="A1649" s="1069"/>
      <c r="B1649" s="244"/>
      <c r="C1649" s="434"/>
      <c r="D1649" s="434"/>
      <c r="E1649" s="436"/>
      <c r="F1649" s="55"/>
      <c r="G1649" s="55"/>
      <c r="H1649" s="136">
        <f t="shared" si="50"/>
        <v>0</v>
      </c>
      <c r="I1649" s="136">
        <f t="shared" si="51"/>
        <v>0</v>
      </c>
      <c r="J1649" s="73"/>
    </row>
    <row r="1650" spans="1:10" s="5" customFormat="1" hidden="1">
      <c r="A1650" s="1069"/>
      <c r="B1650" s="244"/>
      <c r="C1650" s="434"/>
      <c r="D1650" s="434"/>
      <c r="E1650" s="436"/>
      <c r="F1650" s="55"/>
      <c r="G1650" s="55"/>
      <c r="H1650" s="136">
        <f t="shared" si="50"/>
        <v>0</v>
      </c>
      <c r="I1650" s="136">
        <f t="shared" si="51"/>
        <v>0</v>
      </c>
      <c r="J1650" s="73"/>
    </row>
    <row r="1651" spans="1:10" s="5" customFormat="1" hidden="1">
      <c r="A1651" s="1069"/>
      <c r="B1651" s="244"/>
      <c r="C1651" s="434"/>
      <c r="D1651" s="434"/>
      <c r="E1651" s="436"/>
      <c r="F1651" s="55"/>
      <c r="G1651" s="55"/>
      <c r="H1651" s="136">
        <f t="shared" si="50"/>
        <v>0</v>
      </c>
      <c r="I1651" s="136">
        <f t="shared" si="51"/>
        <v>0</v>
      </c>
      <c r="J1651" s="73"/>
    </row>
    <row r="1652" spans="1:10" s="5" customFormat="1" hidden="1">
      <c r="A1652" s="1069"/>
      <c r="B1652" s="244"/>
      <c r="C1652" s="383"/>
      <c r="D1652" s="433"/>
      <c r="E1652" s="433"/>
      <c r="F1652" s="55"/>
      <c r="G1652" s="55"/>
      <c r="H1652" s="136">
        <f t="shared" si="50"/>
        <v>0</v>
      </c>
      <c r="I1652" s="136">
        <f t="shared" si="51"/>
        <v>0</v>
      </c>
      <c r="J1652" s="73"/>
    </row>
    <row r="1653" spans="1:10">
      <c r="A1653" s="1068"/>
      <c r="B1653" s="461" t="s">
        <v>253</v>
      </c>
      <c r="C1653" s="470">
        <f>SUM(C1606:C1652)</f>
        <v>49772</v>
      </c>
      <c r="D1653" s="470">
        <f>SUM(D1606:D1652)</f>
        <v>0</v>
      </c>
      <c r="E1653" s="470">
        <f>SUM(E1606:E1652)</f>
        <v>49772</v>
      </c>
      <c r="F1653" s="75">
        <f>SUM(F1606:F1652)</f>
        <v>0</v>
      </c>
      <c r="G1653" s="75">
        <f>SUM(G1606:G1652)</f>
        <v>0</v>
      </c>
      <c r="H1653" s="459">
        <f t="shared" si="50"/>
        <v>0</v>
      </c>
      <c r="I1653" s="459">
        <f t="shared" si="51"/>
        <v>99544</v>
      </c>
      <c r="J1653" s="460"/>
    </row>
    <row r="1654" spans="1:10" s="460" customFormat="1" ht="131.25">
      <c r="A1654" s="1068" t="s">
        <v>1689</v>
      </c>
      <c r="B1654" s="310" t="s">
        <v>1681</v>
      </c>
      <c r="C1654" s="453">
        <v>26290</v>
      </c>
      <c r="D1654" s="453"/>
      <c r="E1654" s="453">
        <v>26290</v>
      </c>
      <c r="F1654" s="155"/>
      <c r="G1654" s="155"/>
      <c r="H1654" s="459">
        <f t="shared" si="50"/>
        <v>0</v>
      </c>
      <c r="I1654" s="459">
        <f t="shared" si="51"/>
        <v>52580</v>
      </c>
    </row>
    <row r="1655" spans="1:10" ht="93.75">
      <c r="A1655" s="1074"/>
      <c r="B1655" s="310" t="s">
        <v>1819</v>
      </c>
      <c r="C1655" s="455">
        <v>72000</v>
      </c>
      <c r="D1655" s="455"/>
      <c r="E1655" s="455">
        <v>72000</v>
      </c>
      <c r="F1655" s="373"/>
      <c r="G1655" s="373"/>
      <c r="H1655" s="459">
        <f t="shared" si="50"/>
        <v>0</v>
      </c>
      <c r="I1655" s="459">
        <f t="shared" si="51"/>
        <v>144000</v>
      </c>
      <c r="J1655" s="460" t="s">
        <v>1861</v>
      </c>
    </row>
    <row r="1656" spans="1:10" s="5" customFormat="1" hidden="1">
      <c r="A1656" s="1069"/>
      <c r="B1656" s="244"/>
      <c r="C1656" s="430"/>
      <c r="D1656" s="430"/>
      <c r="E1656" s="430"/>
      <c r="F1656" s="55"/>
      <c r="G1656" s="55"/>
      <c r="H1656" s="136">
        <f t="shared" si="50"/>
        <v>0</v>
      </c>
      <c r="I1656" s="136">
        <f t="shared" si="51"/>
        <v>0</v>
      </c>
      <c r="J1656" s="73"/>
    </row>
    <row r="1657" spans="1:10" s="5" customFormat="1" hidden="1">
      <c r="A1657" s="1069"/>
      <c r="B1657" s="244"/>
      <c r="C1657" s="430"/>
      <c r="D1657" s="430"/>
      <c r="E1657" s="430"/>
      <c r="F1657" s="55"/>
      <c r="G1657" s="55"/>
      <c r="H1657" s="136">
        <f t="shared" si="50"/>
        <v>0</v>
      </c>
      <c r="I1657" s="136">
        <f t="shared" si="51"/>
        <v>0</v>
      </c>
      <c r="J1657" s="73"/>
    </row>
    <row r="1658" spans="1:10" s="5" customFormat="1" hidden="1">
      <c r="A1658" s="1069"/>
      <c r="B1658" s="244"/>
      <c r="C1658" s="430"/>
      <c r="D1658" s="430"/>
      <c r="E1658" s="430"/>
      <c r="F1658" s="55"/>
      <c r="G1658" s="55"/>
      <c r="H1658" s="136">
        <f t="shared" si="50"/>
        <v>0</v>
      </c>
      <c r="I1658" s="136">
        <f t="shared" si="51"/>
        <v>0</v>
      </c>
      <c r="J1658" s="73"/>
    </row>
    <row r="1659" spans="1:10" s="5" customFormat="1" hidden="1">
      <c r="A1659" s="1069"/>
      <c r="B1659" s="244"/>
      <c r="C1659" s="383"/>
      <c r="D1659" s="383"/>
      <c r="E1659" s="430"/>
      <c r="F1659" s="55"/>
      <c r="G1659" s="55"/>
      <c r="H1659" s="136">
        <f t="shared" si="50"/>
        <v>0</v>
      </c>
      <c r="I1659" s="136">
        <f t="shared" si="51"/>
        <v>0</v>
      </c>
      <c r="J1659" s="73"/>
    </row>
    <row r="1660" spans="1:10" s="5" customFormat="1" hidden="1">
      <c r="A1660" s="1069"/>
      <c r="B1660" s="244"/>
      <c r="C1660" s="383"/>
      <c r="D1660" s="383"/>
      <c r="E1660" s="430"/>
      <c r="F1660" s="55"/>
      <c r="G1660" s="55"/>
      <c r="H1660" s="136">
        <f t="shared" si="50"/>
        <v>0</v>
      </c>
      <c r="I1660" s="136">
        <f t="shared" si="51"/>
        <v>0</v>
      </c>
      <c r="J1660" s="73"/>
    </row>
    <row r="1661" spans="1:10" s="5" customFormat="1" hidden="1">
      <c r="A1661" s="1069"/>
      <c r="B1661" s="244"/>
      <c r="C1661" s="383"/>
      <c r="D1661" s="383"/>
      <c r="E1661" s="430"/>
      <c r="F1661" s="55"/>
      <c r="G1661" s="55"/>
      <c r="H1661" s="136">
        <f t="shared" si="50"/>
        <v>0</v>
      </c>
      <c r="I1661" s="136">
        <f t="shared" si="51"/>
        <v>0</v>
      </c>
      <c r="J1661" s="73"/>
    </row>
    <row r="1662" spans="1:10" s="5" customFormat="1" hidden="1">
      <c r="A1662" s="1069"/>
      <c r="B1662" s="244"/>
      <c r="C1662" s="430"/>
      <c r="D1662" s="430"/>
      <c r="E1662" s="430"/>
      <c r="F1662" s="55"/>
      <c r="G1662" s="55"/>
      <c r="H1662" s="136">
        <f t="shared" si="50"/>
        <v>0</v>
      </c>
      <c r="I1662" s="136">
        <f t="shared" si="51"/>
        <v>0</v>
      </c>
      <c r="J1662" s="73"/>
    </row>
    <row r="1663" spans="1:10" s="5" customFormat="1" hidden="1">
      <c r="A1663" s="1069"/>
      <c r="B1663" s="244"/>
      <c r="C1663" s="383"/>
      <c r="D1663" s="383"/>
      <c r="E1663" s="430"/>
      <c r="F1663" s="55"/>
      <c r="G1663" s="55"/>
      <c r="H1663" s="136">
        <f t="shared" si="50"/>
        <v>0</v>
      </c>
      <c r="I1663" s="136">
        <f t="shared" si="51"/>
        <v>0</v>
      </c>
      <c r="J1663" s="73"/>
    </row>
    <row r="1664" spans="1:10" s="5" customFormat="1" hidden="1">
      <c r="A1664" s="1069"/>
      <c r="B1664" s="244"/>
      <c r="C1664" s="383"/>
      <c r="D1664" s="383"/>
      <c r="E1664" s="430"/>
      <c r="F1664" s="55"/>
      <c r="G1664" s="55"/>
      <c r="H1664" s="136">
        <f t="shared" si="50"/>
        <v>0</v>
      </c>
      <c r="I1664" s="136">
        <f t="shared" si="51"/>
        <v>0</v>
      </c>
      <c r="J1664" s="73"/>
    </row>
    <row r="1665" spans="1:10" s="5" customFormat="1" hidden="1">
      <c r="A1665" s="1069"/>
      <c r="B1665" s="244"/>
      <c r="C1665" s="383"/>
      <c r="D1665" s="383"/>
      <c r="E1665" s="430"/>
      <c r="F1665" s="55"/>
      <c r="G1665" s="55"/>
      <c r="H1665" s="136">
        <f t="shared" si="50"/>
        <v>0</v>
      </c>
      <c r="I1665" s="136">
        <f t="shared" si="51"/>
        <v>0</v>
      </c>
      <c r="J1665" s="73"/>
    </row>
    <row r="1666" spans="1:10" s="5" customFormat="1" hidden="1">
      <c r="A1666" s="1069"/>
      <c r="B1666" s="244"/>
      <c r="C1666" s="383"/>
      <c r="D1666" s="383"/>
      <c r="E1666" s="430"/>
      <c r="F1666" s="55"/>
      <c r="G1666" s="55"/>
      <c r="H1666" s="136">
        <f t="shared" si="50"/>
        <v>0</v>
      </c>
      <c r="I1666" s="136">
        <f t="shared" si="51"/>
        <v>0</v>
      </c>
      <c r="J1666" s="73"/>
    </row>
    <row r="1667" spans="1:10" s="5" customFormat="1" hidden="1">
      <c r="A1667" s="1069"/>
      <c r="B1667" s="244"/>
      <c r="C1667" s="383"/>
      <c r="D1667" s="430"/>
      <c r="E1667" s="430"/>
      <c r="F1667" s="55"/>
      <c r="G1667" s="55"/>
      <c r="H1667" s="136">
        <f t="shared" si="50"/>
        <v>0</v>
      </c>
      <c r="I1667" s="136">
        <f t="shared" si="51"/>
        <v>0</v>
      </c>
      <c r="J1667" s="73"/>
    </row>
    <row r="1668" spans="1:10" s="5" customFormat="1" hidden="1">
      <c r="A1668" s="1069"/>
      <c r="B1668" s="244"/>
      <c r="C1668" s="383"/>
      <c r="D1668" s="383"/>
      <c r="E1668" s="433"/>
      <c r="F1668" s="55"/>
      <c r="G1668" s="55"/>
      <c r="H1668" s="136">
        <f t="shared" si="50"/>
        <v>0</v>
      </c>
      <c r="I1668" s="136">
        <f t="shared" si="51"/>
        <v>0</v>
      </c>
      <c r="J1668" s="73"/>
    </row>
    <row r="1669" spans="1:10" s="5" customFormat="1" hidden="1">
      <c r="A1669" s="1069"/>
      <c r="B1669" s="246"/>
      <c r="C1669" s="435"/>
      <c r="D1669" s="435"/>
      <c r="E1669" s="435"/>
      <c r="F1669" s="55"/>
      <c r="G1669" s="55"/>
      <c r="H1669" s="136">
        <f t="shared" si="50"/>
        <v>0</v>
      </c>
      <c r="I1669" s="136">
        <f t="shared" si="51"/>
        <v>0</v>
      </c>
      <c r="J1669" s="73"/>
    </row>
    <row r="1670" spans="1:10" s="5" customFormat="1" hidden="1">
      <c r="A1670" s="1069"/>
      <c r="B1670" s="246"/>
      <c r="C1670" s="435"/>
      <c r="D1670" s="435"/>
      <c r="E1670" s="435"/>
      <c r="F1670" s="55"/>
      <c r="G1670" s="55"/>
      <c r="H1670" s="136">
        <f t="shared" si="50"/>
        <v>0</v>
      </c>
      <c r="I1670" s="136">
        <f t="shared" si="51"/>
        <v>0</v>
      </c>
      <c r="J1670" s="73"/>
    </row>
    <row r="1671" spans="1:10" s="5" customFormat="1" hidden="1">
      <c r="A1671" s="1069"/>
      <c r="B1671" s="246"/>
      <c r="C1671" s="435"/>
      <c r="D1671" s="435"/>
      <c r="E1671" s="435"/>
      <c r="F1671" s="55"/>
      <c r="G1671" s="55"/>
      <c r="H1671" s="136">
        <f t="shared" si="50"/>
        <v>0</v>
      </c>
      <c r="I1671" s="136">
        <f t="shared" si="51"/>
        <v>0</v>
      </c>
      <c r="J1671" s="73"/>
    </row>
    <row r="1672" spans="1:10" s="5" customFormat="1" hidden="1">
      <c r="A1672" s="1069"/>
      <c r="B1672" s="246"/>
      <c r="C1672" s="435"/>
      <c r="D1672" s="435"/>
      <c r="E1672" s="435"/>
      <c r="F1672" s="55"/>
      <c r="G1672" s="55"/>
      <c r="H1672" s="136">
        <f t="shared" si="50"/>
        <v>0</v>
      </c>
      <c r="I1672" s="136">
        <f t="shared" si="51"/>
        <v>0</v>
      </c>
      <c r="J1672" s="73"/>
    </row>
    <row r="1673" spans="1:10" s="5" customFormat="1" hidden="1">
      <c r="A1673" s="1069"/>
      <c r="B1673" s="246"/>
      <c r="C1673" s="435"/>
      <c r="D1673" s="435"/>
      <c r="E1673" s="435"/>
      <c r="F1673" s="55"/>
      <c r="G1673" s="55"/>
      <c r="H1673" s="136">
        <f t="shared" ref="H1673:H1736" si="52">E1673+D1673-C1673</f>
        <v>0</v>
      </c>
      <c r="I1673" s="136">
        <f t="shared" ref="I1673:I1736" si="53">SUM(C1673:E1673)</f>
        <v>0</v>
      </c>
      <c r="J1673" s="73"/>
    </row>
    <row r="1674" spans="1:10" s="5" customFormat="1" hidden="1">
      <c r="A1674" s="1069"/>
      <c r="B1674" s="246"/>
      <c r="C1674" s="435"/>
      <c r="D1674" s="435"/>
      <c r="E1674" s="435"/>
      <c r="F1674" s="55"/>
      <c r="G1674" s="55"/>
      <c r="H1674" s="136">
        <f t="shared" si="52"/>
        <v>0</v>
      </c>
      <c r="I1674" s="136">
        <f t="shared" si="53"/>
        <v>0</v>
      </c>
      <c r="J1674" s="73"/>
    </row>
    <row r="1675" spans="1:10" s="5" customFormat="1" hidden="1">
      <c r="A1675" s="1069"/>
      <c r="B1675" s="246"/>
      <c r="C1675" s="434"/>
      <c r="D1675" s="434"/>
      <c r="E1675" s="435"/>
      <c r="F1675" s="55"/>
      <c r="G1675" s="55"/>
      <c r="H1675" s="136">
        <f t="shared" si="52"/>
        <v>0</v>
      </c>
      <c r="I1675" s="136">
        <f t="shared" si="53"/>
        <v>0</v>
      </c>
      <c r="J1675" s="73"/>
    </row>
    <row r="1676" spans="1:10" s="5" customFormat="1" hidden="1">
      <c r="A1676" s="1069"/>
      <c r="B1676" s="246"/>
      <c r="C1676" s="434"/>
      <c r="D1676" s="434"/>
      <c r="E1676" s="435"/>
      <c r="F1676" s="55"/>
      <c r="G1676" s="55"/>
      <c r="H1676" s="136">
        <f t="shared" si="52"/>
        <v>0</v>
      </c>
      <c r="I1676" s="136">
        <f t="shared" si="53"/>
        <v>0</v>
      </c>
      <c r="J1676" s="73"/>
    </row>
    <row r="1677" spans="1:10" s="5" customFormat="1" hidden="1">
      <c r="A1677" s="1069"/>
      <c r="B1677" s="246"/>
      <c r="C1677" s="434"/>
      <c r="D1677" s="434"/>
      <c r="E1677" s="435"/>
      <c r="F1677" s="55"/>
      <c r="G1677" s="55"/>
      <c r="H1677" s="136">
        <f t="shared" si="52"/>
        <v>0</v>
      </c>
      <c r="I1677" s="136">
        <f t="shared" si="53"/>
        <v>0</v>
      </c>
      <c r="J1677" s="73"/>
    </row>
    <row r="1678" spans="1:10" s="5" customFormat="1" hidden="1">
      <c r="A1678" s="1069"/>
      <c r="B1678" s="244"/>
      <c r="C1678" s="434"/>
      <c r="D1678" s="434"/>
      <c r="E1678" s="436"/>
      <c r="F1678" s="55"/>
      <c r="G1678" s="55"/>
      <c r="H1678" s="136">
        <f t="shared" si="52"/>
        <v>0</v>
      </c>
      <c r="I1678" s="136">
        <f t="shared" si="53"/>
        <v>0</v>
      </c>
      <c r="J1678" s="73"/>
    </row>
    <row r="1679" spans="1:10" s="5" customFormat="1" hidden="1">
      <c r="A1679" s="1069"/>
      <c r="B1679" s="244"/>
      <c r="C1679" s="434"/>
      <c r="D1679" s="434"/>
      <c r="E1679" s="436"/>
      <c r="F1679" s="55"/>
      <c r="G1679" s="55"/>
      <c r="H1679" s="136">
        <f t="shared" si="52"/>
        <v>0</v>
      </c>
      <c r="I1679" s="136">
        <f t="shared" si="53"/>
        <v>0</v>
      </c>
      <c r="J1679" s="73"/>
    </row>
    <row r="1680" spans="1:10" s="5" customFormat="1" hidden="1">
      <c r="A1680" s="1069"/>
      <c r="B1680" s="244"/>
      <c r="C1680" s="434"/>
      <c r="D1680" s="434"/>
      <c r="E1680" s="436"/>
      <c r="F1680" s="55"/>
      <c r="G1680" s="55"/>
      <c r="H1680" s="136">
        <f t="shared" si="52"/>
        <v>0</v>
      </c>
      <c r="I1680" s="136">
        <f t="shared" si="53"/>
        <v>0</v>
      </c>
      <c r="J1680" s="73"/>
    </row>
    <row r="1681" spans="1:10" s="5" customFormat="1" hidden="1">
      <c r="A1681" s="1069"/>
      <c r="B1681" s="244"/>
      <c r="C1681" s="434"/>
      <c r="D1681" s="434"/>
      <c r="E1681" s="436"/>
      <c r="F1681" s="55"/>
      <c r="G1681" s="55"/>
      <c r="H1681" s="136">
        <f t="shared" si="52"/>
        <v>0</v>
      </c>
      <c r="I1681" s="136">
        <f t="shared" si="53"/>
        <v>0</v>
      </c>
      <c r="J1681" s="73"/>
    </row>
    <row r="1682" spans="1:10" s="5" customFormat="1" hidden="1">
      <c r="A1682" s="1069"/>
      <c r="B1682" s="244"/>
      <c r="C1682" s="434"/>
      <c r="D1682" s="434"/>
      <c r="E1682" s="436"/>
      <c r="F1682" s="55"/>
      <c r="G1682" s="55"/>
      <c r="H1682" s="136">
        <f t="shared" si="52"/>
        <v>0</v>
      </c>
      <c r="I1682" s="136">
        <f t="shared" si="53"/>
        <v>0</v>
      </c>
      <c r="J1682" s="73"/>
    </row>
    <row r="1683" spans="1:10" s="5" customFormat="1" hidden="1">
      <c r="A1683" s="1069"/>
      <c r="B1683" s="244"/>
      <c r="C1683" s="434"/>
      <c r="D1683" s="434"/>
      <c r="E1683" s="436"/>
      <c r="F1683" s="55"/>
      <c r="G1683" s="55"/>
      <c r="H1683" s="136">
        <f t="shared" si="52"/>
        <v>0</v>
      </c>
      <c r="I1683" s="136">
        <f t="shared" si="53"/>
        <v>0</v>
      </c>
      <c r="J1683" s="73"/>
    </row>
    <row r="1684" spans="1:10" s="5" customFormat="1" hidden="1">
      <c r="A1684" s="1069"/>
      <c r="B1684" s="244"/>
      <c r="C1684" s="434"/>
      <c r="D1684" s="434"/>
      <c r="E1684" s="436"/>
      <c r="F1684" s="55"/>
      <c r="G1684" s="55"/>
      <c r="H1684" s="136">
        <f t="shared" si="52"/>
        <v>0</v>
      </c>
      <c r="I1684" s="136">
        <f t="shared" si="53"/>
        <v>0</v>
      </c>
      <c r="J1684" s="73"/>
    </row>
    <row r="1685" spans="1:10" s="5" customFormat="1" hidden="1">
      <c r="A1685" s="1069"/>
      <c r="B1685" s="244"/>
      <c r="C1685" s="434"/>
      <c r="D1685" s="434"/>
      <c r="E1685" s="436"/>
      <c r="F1685" s="55"/>
      <c r="G1685" s="55"/>
      <c r="H1685" s="136">
        <f t="shared" si="52"/>
        <v>0</v>
      </c>
      <c r="I1685" s="136">
        <f t="shared" si="53"/>
        <v>0</v>
      </c>
      <c r="J1685" s="73"/>
    </row>
    <row r="1686" spans="1:10" s="5" customFormat="1" hidden="1">
      <c r="A1686" s="1069"/>
      <c r="B1686" s="244"/>
      <c r="C1686" s="434"/>
      <c r="D1686" s="434"/>
      <c r="E1686" s="436"/>
      <c r="F1686" s="55"/>
      <c r="G1686" s="55"/>
      <c r="H1686" s="136">
        <f t="shared" si="52"/>
        <v>0</v>
      </c>
      <c r="I1686" s="136">
        <f t="shared" si="53"/>
        <v>0</v>
      </c>
      <c r="J1686" s="73"/>
    </row>
    <row r="1687" spans="1:10" s="5" customFormat="1" hidden="1">
      <c r="A1687" s="1069"/>
      <c r="B1687" s="244"/>
      <c r="C1687" s="383"/>
      <c r="D1687" s="430"/>
      <c r="E1687" s="430"/>
      <c r="F1687" s="55"/>
      <c r="G1687" s="55"/>
      <c r="H1687" s="136">
        <f t="shared" si="52"/>
        <v>0</v>
      </c>
      <c r="I1687" s="136">
        <f t="shared" si="53"/>
        <v>0</v>
      </c>
      <c r="J1687" s="73"/>
    </row>
    <row r="1688" spans="1:10" s="5" customFormat="1" hidden="1">
      <c r="A1688" s="1069"/>
      <c r="B1688" s="244"/>
      <c r="C1688" s="434"/>
      <c r="D1688" s="434"/>
      <c r="E1688" s="436"/>
      <c r="F1688" s="55"/>
      <c r="G1688" s="55"/>
      <c r="H1688" s="136">
        <f t="shared" si="52"/>
        <v>0</v>
      </c>
      <c r="I1688" s="136">
        <f t="shared" si="53"/>
        <v>0</v>
      </c>
      <c r="J1688" s="73"/>
    </row>
    <row r="1689" spans="1:10" s="5" customFormat="1" hidden="1">
      <c r="A1689" s="1069"/>
      <c r="B1689" s="244"/>
      <c r="C1689" s="434"/>
      <c r="D1689" s="434"/>
      <c r="E1689" s="436"/>
      <c r="F1689" s="55"/>
      <c r="G1689" s="55"/>
      <c r="H1689" s="136">
        <f t="shared" si="52"/>
        <v>0</v>
      </c>
      <c r="I1689" s="136">
        <f t="shared" si="53"/>
        <v>0</v>
      </c>
      <c r="J1689" s="73"/>
    </row>
    <row r="1690" spans="1:10" s="5" customFormat="1" hidden="1">
      <c r="A1690" s="1069"/>
      <c r="B1690" s="244"/>
      <c r="C1690" s="434"/>
      <c r="D1690" s="434"/>
      <c r="E1690" s="436"/>
      <c r="F1690" s="55"/>
      <c r="G1690" s="55"/>
      <c r="H1690" s="136">
        <f t="shared" si="52"/>
        <v>0</v>
      </c>
      <c r="I1690" s="136">
        <f t="shared" si="53"/>
        <v>0</v>
      </c>
      <c r="J1690" s="73"/>
    </row>
    <row r="1691" spans="1:10" s="5" customFormat="1" hidden="1">
      <c r="A1691" s="1069"/>
      <c r="B1691" s="244"/>
      <c r="C1691" s="434"/>
      <c r="D1691" s="434"/>
      <c r="E1691" s="436"/>
      <c r="F1691" s="55"/>
      <c r="G1691" s="55"/>
      <c r="H1691" s="136">
        <f t="shared" si="52"/>
        <v>0</v>
      </c>
      <c r="I1691" s="136">
        <f t="shared" si="53"/>
        <v>0</v>
      </c>
      <c r="J1691" s="73"/>
    </row>
    <row r="1692" spans="1:10" s="5" customFormat="1" hidden="1">
      <c r="A1692" s="1069"/>
      <c r="B1692" s="244"/>
      <c r="C1692" s="434"/>
      <c r="D1692" s="434"/>
      <c r="E1692" s="436"/>
      <c r="F1692" s="55"/>
      <c r="G1692" s="55"/>
      <c r="H1692" s="136">
        <f t="shared" si="52"/>
        <v>0</v>
      </c>
      <c r="I1692" s="136">
        <f t="shared" si="53"/>
        <v>0</v>
      </c>
      <c r="J1692" s="73"/>
    </row>
    <row r="1693" spans="1:10" s="5" customFormat="1" hidden="1">
      <c r="A1693" s="1069"/>
      <c r="B1693" s="244"/>
      <c r="C1693" s="434"/>
      <c r="D1693" s="434"/>
      <c r="E1693" s="436"/>
      <c r="F1693" s="55"/>
      <c r="G1693" s="55"/>
      <c r="H1693" s="136">
        <f t="shared" si="52"/>
        <v>0</v>
      </c>
      <c r="I1693" s="136">
        <f t="shared" si="53"/>
        <v>0</v>
      </c>
      <c r="J1693" s="73"/>
    </row>
    <row r="1694" spans="1:10" s="5" customFormat="1" hidden="1">
      <c r="A1694" s="1069"/>
      <c r="B1694" s="244"/>
      <c r="C1694" s="434"/>
      <c r="D1694" s="434"/>
      <c r="E1694" s="436"/>
      <c r="F1694" s="55"/>
      <c r="G1694" s="55"/>
      <c r="H1694" s="136">
        <f t="shared" si="52"/>
        <v>0</v>
      </c>
      <c r="I1694" s="136">
        <f t="shared" si="53"/>
        <v>0</v>
      </c>
      <c r="J1694" s="73"/>
    </row>
    <row r="1695" spans="1:10" s="5" customFormat="1" hidden="1">
      <c r="A1695" s="1069"/>
      <c r="B1695" s="244"/>
      <c r="C1695" s="434"/>
      <c r="D1695" s="434"/>
      <c r="E1695" s="436"/>
      <c r="F1695" s="55"/>
      <c r="G1695" s="55"/>
      <c r="H1695" s="136">
        <f t="shared" si="52"/>
        <v>0</v>
      </c>
      <c r="I1695" s="136">
        <f t="shared" si="53"/>
        <v>0</v>
      </c>
      <c r="J1695" s="73"/>
    </row>
    <row r="1696" spans="1:10" s="5" customFormat="1" hidden="1">
      <c r="A1696" s="1069"/>
      <c r="B1696" s="244"/>
      <c r="C1696" s="434"/>
      <c r="D1696" s="434"/>
      <c r="E1696" s="436"/>
      <c r="F1696" s="55"/>
      <c r="G1696" s="55"/>
      <c r="H1696" s="136">
        <f t="shared" si="52"/>
        <v>0</v>
      </c>
      <c r="I1696" s="136">
        <f t="shared" si="53"/>
        <v>0</v>
      </c>
      <c r="J1696" s="73"/>
    </row>
    <row r="1697" spans="1:10" s="5" customFormat="1" hidden="1">
      <c r="A1697" s="1069"/>
      <c r="B1697" s="244"/>
      <c r="C1697" s="434"/>
      <c r="D1697" s="434"/>
      <c r="E1697" s="436"/>
      <c r="F1697" s="55"/>
      <c r="G1697" s="55"/>
      <c r="H1697" s="136">
        <f t="shared" si="52"/>
        <v>0</v>
      </c>
      <c r="I1697" s="136">
        <f t="shared" si="53"/>
        <v>0</v>
      </c>
      <c r="J1697" s="73"/>
    </row>
    <row r="1698" spans="1:10" s="5" customFormat="1" hidden="1">
      <c r="A1698" s="1069"/>
      <c r="B1698" s="244"/>
      <c r="C1698" s="434"/>
      <c r="D1698" s="434"/>
      <c r="E1698" s="436"/>
      <c r="F1698" s="55"/>
      <c r="G1698" s="55"/>
      <c r="H1698" s="136">
        <f t="shared" si="52"/>
        <v>0</v>
      </c>
      <c r="I1698" s="136">
        <f t="shared" si="53"/>
        <v>0</v>
      </c>
      <c r="J1698" s="73"/>
    </row>
    <row r="1699" spans="1:10" s="5" customFormat="1" hidden="1">
      <c r="A1699" s="1069"/>
      <c r="B1699" s="244"/>
      <c r="C1699" s="434"/>
      <c r="D1699" s="434"/>
      <c r="E1699" s="436"/>
      <c r="F1699" s="55"/>
      <c r="G1699" s="55"/>
      <c r="H1699" s="136">
        <f t="shared" si="52"/>
        <v>0</v>
      </c>
      <c r="I1699" s="136">
        <f t="shared" si="53"/>
        <v>0</v>
      </c>
      <c r="J1699" s="73"/>
    </row>
    <row r="1700" spans="1:10" s="5" customFormat="1" hidden="1">
      <c r="A1700" s="1069"/>
      <c r="B1700" s="244"/>
      <c r="C1700" s="383"/>
      <c r="D1700" s="433"/>
      <c r="E1700" s="433"/>
      <c r="F1700" s="55"/>
      <c r="G1700" s="55"/>
      <c r="H1700" s="136">
        <f t="shared" si="52"/>
        <v>0</v>
      </c>
      <c r="I1700" s="136">
        <f t="shared" si="53"/>
        <v>0</v>
      </c>
      <c r="J1700" s="73"/>
    </row>
    <row r="1701" spans="1:10" ht="41.45" customHeight="1">
      <c r="A1701" s="1074"/>
      <c r="B1701" s="461" t="s">
        <v>253</v>
      </c>
      <c r="C1701" s="470">
        <f>SUM(C1654:C1700)</f>
        <v>98290</v>
      </c>
      <c r="D1701" s="470">
        <f>SUM(D1654:D1700)</f>
        <v>0</v>
      </c>
      <c r="E1701" s="470">
        <f>SUM(E1654:E1700)</f>
        <v>98290</v>
      </c>
      <c r="F1701" s="75">
        <f>SUM(F1654:F1700)</f>
        <v>0</v>
      </c>
      <c r="G1701" s="75">
        <f>SUM(G1654:G1700)</f>
        <v>0</v>
      </c>
      <c r="H1701" s="459">
        <f t="shared" si="52"/>
        <v>0</v>
      </c>
      <c r="I1701" s="459">
        <f t="shared" si="53"/>
        <v>196580</v>
      </c>
      <c r="J1701" s="460"/>
    </row>
    <row r="1702" spans="1:10" s="460" customFormat="1" ht="93.75">
      <c r="A1702" s="1068" t="s">
        <v>391</v>
      </c>
      <c r="B1702" s="310" t="s">
        <v>1821</v>
      </c>
      <c r="C1702" s="452">
        <v>19000</v>
      </c>
      <c r="D1702" s="452"/>
      <c r="E1702" s="452">
        <v>19000</v>
      </c>
      <c r="F1702" s="155"/>
      <c r="G1702" s="155"/>
      <c r="H1702" s="459">
        <f t="shared" si="52"/>
        <v>0</v>
      </c>
      <c r="I1702" s="459">
        <f t="shared" si="53"/>
        <v>38000</v>
      </c>
    </row>
    <row r="1703" spans="1:10" ht="131.25">
      <c r="A1703" s="1068"/>
      <c r="B1703" s="310" t="s">
        <v>1681</v>
      </c>
      <c r="C1703" s="453">
        <f>19720-19720+2286</f>
        <v>2286</v>
      </c>
      <c r="D1703" s="453"/>
      <c r="E1703" s="453">
        <f>19720-19720+2286</f>
        <v>2286</v>
      </c>
      <c r="F1703" s="402"/>
      <c r="G1703" s="402"/>
      <c r="H1703" s="459">
        <f t="shared" si="52"/>
        <v>0</v>
      </c>
      <c r="I1703" s="459">
        <f t="shared" si="53"/>
        <v>4572</v>
      </c>
      <c r="J1703" s="460"/>
    </row>
    <row r="1704" spans="1:10" s="5" customFormat="1" hidden="1">
      <c r="A1704" s="1069"/>
      <c r="B1704" s="244"/>
      <c r="C1704" s="430"/>
      <c r="D1704" s="430"/>
      <c r="E1704" s="430"/>
      <c r="F1704" s="55"/>
      <c r="G1704" s="55"/>
      <c r="H1704" s="136">
        <f t="shared" si="52"/>
        <v>0</v>
      </c>
      <c r="I1704" s="136">
        <f t="shared" si="53"/>
        <v>0</v>
      </c>
      <c r="J1704" s="73"/>
    </row>
    <row r="1705" spans="1:10" s="5" customFormat="1" hidden="1">
      <c r="A1705" s="1069"/>
      <c r="B1705" s="244"/>
      <c r="C1705" s="430"/>
      <c r="D1705" s="430"/>
      <c r="E1705" s="430"/>
      <c r="F1705" s="55"/>
      <c r="G1705" s="55"/>
      <c r="H1705" s="136">
        <f t="shared" si="52"/>
        <v>0</v>
      </c>
      <c r="I1705" s="136">
        <f t="shared" si="53"/>
        <v>0</v>
      </c>
      <c r="J1705" s="73"/>
    </row>
    <row r="1706" spans="1:10" s="5" customFormat="1" hidden="1">
      <c r="A1706" s="1069"/>
      <c r="B1706" s="244"/>
      <c r="C1706" s="430"/>
      <c r="D1706" s="430"/>
      <c r="E1706" s="430"/>
      <c r="F1706" s="55"/>
      <c r="G1706" s="55"/>
      <c r="H1706" s="136">
        <f t="shared" si="52"/>
        <v>0</v>
      </c>
      <c r="I1706" s="136">
        <f t="shared" si="53"/>
        <v>0</v>
      </c>
      <c r="J1706" s="73"/>
    </row>
    <row r="1707" spans="1:10" s="5" customFormat="1" hidden="1">
      <c r="A1707" s="1069"/>
      <c r="B1707" s="244"/>
      <c r="C1707" s="383"/>
      <c r="D1707" s="383"/>
      <c r="E1707" s="430"/>
      <c r="F1707" s="55"/>
      <c r="G1707" s="55"/>
      <c r="H1707" s="136">
        <f t="shared" si="52"/>
        <v>0</v>
      </c>
      <c r="I1707" s="136">
        <f t="shared" si="53"/>
        <v>0</v>
      </c>
      <c r="J1707" s="73"/>
    </row>
    <row r="1708" spans="1:10" s="5" customFormat="1" hidden="1">
      <c r="A1708" s="1069"/>
      <c r="B1708" s="244"/>
      <c r="C1708" s="383"/>
      <c r="D1708" s="383"/>
      <c r="E1708" s="430"/>
      <c r="F1708" s="55"/>
      <c r="G1708" s="55"/>
      <c r="H1708" s="136">
        <f t="shared" si="52"/>
        <v>0</v>
      </c>
      <c r="I1708" s="136">
        <f t="shared" si="53"/>
        <v>0</v>
      </c>
      <c r="J1708" s="73"/>
    </row>
    <row r="1709" spans="1:10" s="5" customFormat="1" hidden="1">
      <c r="A1709" s="1069"/>
      <c r="B1709" s="244"/>
      <c r="C1709" s="383"/>
      <c r="D1709" s="383"/>
      <c r="E1709" s="430"/>
      <c r="F1709" s="55"/>
      <c r="G1709" s="55"/>
      <c r="H1709" s="136">
        <f t="shared" si="52"/>
        <v>0</v>
      </c>
      <c r="I1709" s="136">
        <f t="shared" si="53"/>
        <v>0</v>
      </c>
      <c r="J1709" s="73"/>
    </row>
    <row r="1710" spans="1:10" s="5" customFormat="1" hidden="1">
      <c r="A1710" s="1069"/>
      <c r="B1710" s="244"/>
      <c r="C1710" s="430"/>
      <c r="D1710" s="430"/>
      <c r="E1710" s="430"/>
      <c r="F1710" s="55"/>
      <c r="G1710" s="55"/>
      <c r="H1710" s="136">
        <f t="shared" si="52"/>
        <v>0</v>
      </c>
      <c r="I1710" s="136">
        <f t="shared" si="53"/>
        <v>0</v>
      </c>
      <c r="J1710" s="73"/>
    </row>
    <row r="1711" spans="1:10" s="5" customFormat="1" hidden="1">
      <c r="A1711" s="1069"/>
      <c r="B1711" s="244"/>
      <c r="C1711" s="383"/>
      <c r="D1711" s="383"/>
      <c r="E1711" s="430"/>
      <c r="F1711" s="55"/>
      <c r="G1711" s="55"/>
      <c r="H1711" s="136">
        <f t="shared" si="52"/>
        <v>0</v>
      </c>
      <c r="I1711" s="136">
        <f t="shared" si="53"/>
        <v>0</v>
      </c>
      <c r="J1711" s="73"/>
    </row>
    <row r="1712" spans="1:10" s="5" customFormat="1" hidden="1">
      <c r="A1712" s="1069"/>
      <c r="B1712" s="244"/>
      <c r="C1712" s="383"/>
      <c r="D1712" s="383"/>
      <c r="E1712" s="430"/>
      <c r="F1712" s="55"/>
      <c r="G1712" s="55"/>
      <c r="H1712" s="136">
        <f t="shared" si="52"/>
        <v>0</v>
      </c>
      <c r="I1712" s="136">
        <f t="shared" si="53"/>
        <v>0</v>
      </c>
      <c r="J1712" s="73"/>
    </row>
    <row r="1713" spans="1:10" s="5" customFormat="1" hidden="1">
      <c r="A1713" s="1069"/>
      <c r="B1713" s="244"/>
      <c r="C1713" s="383"/>
      <c r="D1713" s="383"/>
      <c r="E1713" s="430"/>
      <c r="F1713" s="55"/>
      <c r="G1713" s="55"/>
      <c r="H1713" s="136">
        <f t="shared" si="52"/>
        <v>0</v>
      </c>
      <c r="I1713" s="136">
        <f t="shared" si="53"/>
        <v>0</v>
      </c>
      <c r="J1713" s="73"/>
    </row>
    <row r="1714" spans="1:10" s="5" customFormat="1" hidden="1">
      <c r="A1714" s="1069"/>
      <c r="B1714" s="244"/>
      <c r="C1714" s="383"/>
      <c r="D1714" s="383"/>
      <c r="E1714" s="430"/>
      <c r="F1714" s="55"/>
      <c r="G1714" s="55"/>
      <c r="H1714" s="136">
        <f t="shared" si="52"/>
        <v>0</v>
      </c>
      <c r="I1714" s="136">
        <f t="shared" si="53"/>
        <v>0</v>
      </c>
      <c r="J1714" s="73"/>
    </row>
    <row r="1715" spans="1:10" s="5" customFormat="1" hidden="1">
      <c r="A1715" s="1069"/>
      <c r="B1715" s="244"/>
      <c r="C1715" s="383"/>
      <c r="D1715" s="430"/>
      <c r="E1715" s="430"/>
      <c r="F1715" s="55"/>
      <c r="G1715" s="55"/>
      <c r="H1715" s="136">
        <f t="shared" si="52"/>
        <v>0</v>
      </c>
      <c r="I1715" s="136">
        <f t="shared" si="53"/>
        <v>0</v>
      </c>
      <c r="J1715" s="73"/>
    </row>
    <row r="1716" spans="1:10" s="5" customFormat="1" hidden="1">
      <c r="A1716" s="1069"/>
      <c r="B1716" s="244"/>
      <c r="C1716" s="383"/>
      <c r="D1716" s="383"/>
      <c r="E1716" s="433"/>
      <c r="F1716" s="55"/>
      <c r="G1716" s="55"/>
      <c r="H1716" s="136">
        <f t="shared" si="52"/>
        <v>0</v>
      </c>
      <c r="I1716" s="136">
        <f t="shared" si="53"/>
        <v>0</v>
      </c>
      <c r="J1716" s="73"/>
    </row>
    <row r="1717" spans="1:10" s="5" customFormat="1" hidden="1">
      <c r="A1717" s="1069"/>
      <c r="B1717" s="246"/>
      <c r="C1717" s="435"/>
      <c r="D1717" s="435"/>
      <c r="E1717" s="435"/>
      <c r="F1717" s="55"/>
      <c r="G1717" s="55"/>
      <c r="H1717" s="136">
        <f t="shared" si="52"/>
        <v>0</v>
      </c>
      <c r="I1717" s="136">
        <f t="shared" si="53"/>
        <v>0</v>
      </c>
      <c r="J1717" s="73"/>
    </row>
    <row r="1718" spans="1:10" s="5" customFormat="1" hidden="1">
      <c r="A1718" s="1069"/>
      <c r="B1718" s="246"/>
      <c r="C1718" s="435"/>
      <c r="D1718" s="435"/>
      <c r="E1718" s="435"/>
      <c r="F1718" s="55"/>
      <c r="G1718" s="55"/>
      <c r="H1718" s="136">
        <f t="shared" si="52"/>
        <v>0</v>
      </c>
      <c r="I1718" s="136">
        <f t="shared" si="53"/>
        <v>0</v>
      </c>
      <c r="J1718" s="73"/>
    </row>
    <row r="1719" spans="1:10" s="5" customFormat="1" hidden="1">
      <c r="A1719" s="1069"/>
      <c r="B1719" s="246"/>
      <c r="C1719" s="435"/>
      <c r="D1719" s="435"/>
      <c r="E1719" s="435"/>
      <c r="F1719" s="55"/>
      <c r="G1719" s="55"/>
      <c r="H1719" s="136">
        <f t="shared" si="52"/>
        <v>0</v>
      </c>
      <c r="I1719" s="136">
        <f t="shared" si="53"/>
        <v>0</v>
      </c>
      <c r="J1719" s="73"/>
    </row>
    <row r="1720" spans="1:10" s="5" customFormat="1" hidden="1">
      <c r="A1720" s="1069"/>
      <c r="B1720" s="246"/>
      <c r="C1720" s="435"/>
      <c r="D1720" s="435"/>
      <c r="E1720" s="435"/>
      <c r="F1720" s="55"/>
      <c r="G1720" s="55"/>
      <c r="H1720" s="136">
        <f t="shared" si="52"/>
        <v>0</v>
      </c>
      <c r="I1720" s="136">
        <f t="shared" si="53"/>
        <v>0</v>
      </c>
      <c r="J1720" s="73"/>
    </row>
    <row r="1721" spans="1:10" s="5" customFormat="1" hidden="1">
      <c r="A1721" s="1069"/>
      <c r="B1721" s="246"/>
      <c r="C1721" s="435"/>
      <c r="D1721" s="435"/>
      <c r="E1721" s="435"/>
      <c r="F1721" s="55"/>
      <c r="G1721" s="55"/>
      <c r="H1721" s="136">
        <f t="shared" si="52"/>
        <v>0</v>
      </c>
      <c r="I1721" s="136">
        <f t="shared" si="53"/>
        <v>0</v>
      </c>
      <c r="J1721" s="73"/>
    </row>
    <row r="1722" spans="1:10" s="5" customFormat="1" hidden="1">
      <c r="A1722" s="1069"/>
      <c r="B1722" s="246"/>
      <c r="C1722" s="435"/>
      <c r="D1722" s="435"/>
      <c r="E1722" s="435"/>
      <c r="F1722" s="55"/>
      <c r="G1722" s="55"/>
      <c r="H1722" s="136">
        <f t="shared" si="52"/>
        <v>0</v>
      </c>
      <c r="I1722" s="136">
        <f t="shared" si="53"/>
        <v>0</v>
      </c>
      <c r="J1722" s="73"/>
    </row>
    <row r="1723" spans="1:10" s="5" customFormat="1" hidden="1">
      <c r="A1723" s="1069"/>
      <c r="B1723" s="246"/>
      <c r="C1723" s="434"/>
      <c r="D1723" s="434"/>
      <c r="E1723" s="435"/>
      <c r="F1723" s="55"/>
      <c r="G1723" s="55"/>
      <c r="H1723" s="136">
        <f t="shared" si="52"/>
        <v>0</v>
      </c>
      <c r="I1723" s="136">
        <f t="shared" si="53"/>
        <v>0</v>
      </c>
      <c r="J1723" s="73"/>
    </row>
    <row r="1724" spans="1:10" s="5" customFormat="1" hidden="1">
      <c r="A1724" s="1069"/>
      <c r="B1724" s="246"/>
      <c r="C1724" s="434"/>
      <c r="D1724" s="434"/>
      <c r="E1724" s="435"/>
      <c r="F1724" s="55"/>
      <c r="G1724" s="55"/>
      <c r="H1724" s="136">
        <f t="shared" si="52"/>
        <v>0</v>
      </c>
      <c r="I1724" s="136">
        <f t="shared" si="53"/>
        <v>0</v>
      </c>
      <c r="J1724" s="73"/>
    </row>
    <row r="1725" spans="1:10" s="5" customFormat="1" hidden="1">
      <c r="A1725" s="1069"/>
      <c r="B1725" s="246"/>
      <c r="C1725" s="434"/>
      <c r="D1725" s="434"/>
      <c r="E1725" s="435"/>
      <c r="F1725" s="55"/>
      <c r="G1725" s="55"/>
      <c r="H1725" s="136">
        <f t="shared" si="52"/>
        <v>0</v>
      </c>
      <c r="I1725" s="136">
        <f t="shared" si="53"/>
        <v>0</v>
      </c>
      <c r="J1725" s="73"/>
    </row>
    <row r="1726" spans="1:10" s="5" customFormat="1" hidden="1">
      <c r="A1726" s="1069"/>
      <c r="B1726" s="244"/>
      <c r="C1726" s="434"/>
      <c r="D1726" s="434"/>
      <c r="E1726" s="436"/>
      <c r="F1726" s="55"/>
      <c r="G1726" s="55"/>
      <c r="H1726" s="136">
        <f t="shared" si="52"/>
        <v>0</v>
      </c>
      <c r="I1726" s="136">
        <f t="shared" si="53"/>
        <v>0</v>
      </c>
      <c r="J1726" s="73"/>
    </row>
    <row r="1727" spans="1:10" s="5" customFormat="1" hidden="1">
      <c r="A1727" s="1069"/>
      <c r="B1727" s="244"/>
      <c r="C1727" s="434"/>
      <c r="D1727" s="434"/>
      <c r="E1727" s="436"/>
      <c r="F1727" s="55"/>
      <c r="G1727" s="55"/>
      <c r="H1727" s="136">
        <f t="shared" si="52"/>
        <v>0</v>
      </c>
      <c r="I1727" s="136">
        <f t="shared" si="53"/>
        <v>0</v>
      </c>
      <c r="J1727" s="73"/>
    </row>
    <row r="1728" spans="1:10" s="5" customFormat="1" hidden="1">
      <c r="A1728" s="1069"/>
      <c r="B1728" s="244"/>
      <c r="C1728" s="434"/>
      <c r="D1728" s="434"/>
      <c r="E1728" s="436"/>
      <c r="F1728" s="55"/>
      <c r="G1728" s="55"/>
      <c r="H1728" s="136">
        <f t="shared" si="52"/>
        <v>0</v>
      </c>
      <c r="I1728" s="136">
        <f t="shared" si="53"/>
        <v>0</v>
      </c>
      <c r="J1728" s="73"/>
    </row>
    <row r="1729" spans="1:10" s="5" customFormat="1" hidden="1">
      <c r="A1729" s="1069"/>
      <c r="B1729" s="244"/>
      <c r="C1729" s="434"/>
      <c r="D1729" s="434"/>
      <c r="E1729" s="436"/>
      <c r="F1729" s="55"/>
      <c r="G1729" s="55"/>
      <c r="H1729" s="136">
        <f t="shared" si="52"/>
        <v>0</v>
      </c>
      <c r="I1729" s="136">
        <f t="shared" si="53"/>
        <v>0</v>
      </c>
      <c r="J1729" s="73"/>
    </row>
    <row r="1730" spans="1:10" s="5" customFormat="1" hidden="1">
      <c r="A1730" s="1069"/>
      <c r="B1730" s="244"/>
      <c r="C1730" s="434"/>
      <c r="D1730" s="434"/>
      <c r="E1730" s="436"/>
      <c r="F1730" s="55"/>
      <c r="G1730" s="55"/>
      <c r="H1730" s="136">
        <f t="shared" si="52"/>
        <v>0</v>
      </c>
      <c r="I1730" s="136">
        <f t="shared" si="53"/>
        <v>0</v>
      </c>
      <c r="J1730" s="73"/>
    </row>
    <row r="1731" spans="1:10" s="5" customFormat="1" hidden="1">
      <c r="A1731" s="1069"/>
      <c r="B1731" s="244"/>
      <c r="C1731" s="434"/>
      <c r="D1731" s="434"/>
      <c r="E1731" s="436"/>
      <c r="F1731" s="55"/>
      <c r="G1731" s="55"/>
      <c r="H1731" s="136">
        <f t="shared" si="52"/>
        <v>0</v>
      </c>
      <c r="I1731" s="136">
        <f t="shared" si="53"/>
        <v>0</v>
      </c>
      <c r="J1731" s="73"/>
    </row>
    <row r="1732" spans="1:10" s="5" customFormat="1" hidden="1">
      <c r="A1732" s="1069"/>
      <c r="B1732" s="244"/>
      <c r="C1732" s="434"/>
      <c r="D1732" s="434"/>
      <c r="E1732" s="436"/>
      <c r="F1732" s="55"/>
      <c r="G1732" s="55"/>
      <c r="H1732" s="136">
        <f t="shared" si="52"/>
        <v>0</v>
      </c>
      <c r="I1732" s="136">
        <f t="shared" si="53"/>
        <v>0</v>
      </c>
      <c r="J1732" s="73"/>
    </row>
    <row r="1733" spans="1:10" s="5" customFormat="1" hidden="1">
      <c r="A1733" s="1069"/>
      <c r="B1733" s="244"/>
      <c r="C1733" s="434"/>
      <c r="D1733" s="434"/>
      <c r="E1733" s="436"/>
      <c r="F1733" s="55"/>
      <c r="G1733" s="55"/>
      <c r="H1733" s="136">
        <f t="shared" si="52"/>
        <v>0</v>
      </c>
      <c r="I1733" s="136">
        <f t="shared" si="53"/>
        <v>0</v>
      </c>
      <c r="J1733" s="73"/>
    </row>
    <row r="1734" spans="1:10" s="5" customFormat="1" hidden="1">
      <c r="A1734" s="1069"/>
      <c r="B1734" s="244"/>
      <c r="C1734" s="434"/>
      <c r="D1734" s="434"/>
      <c r="E1734" s="436"/>
      <c r="F1734" s="55"/>
      <c r="G1734" s="55"/>
      <c r="H1734" s="136">
        <f t="shared" si="52"/>
        <v>0</v>
      </c>
      <c r="I1734" s="136">
        <f t="shared" si="53"/>
        <v>0</v>
      </c>
      <c r="J1734" s="73"/>
    </row>
    <row r="1735" spans="1:10" s="5" customFormat="1" hidden="1">
      <c r="A1735" s="1069"/>
      <c r="B1735" s="244"/>
      <c r="C1735" s="383"/>
      <c r="D1735" s="430"/>
      <c r="E1735" s="430"/>
      <c r="F1735" s="55"/>
      <c r="G1735" s="55"/>
      <c r="H1735" s="136">
        <f t="shared" si="52"/>
        <v>0</v>
      </c>
      <c r="I1735" s="136">
        <f t="shared" si="53"/>
        <v>0</v>
      </c>
      <c r="J1735" s="73"/>
    </row>
    <row r="1736" spans="1:10" s="5" customFormat="1" hidden="1">
      <c r="A1736" s="1069"/>
      <c r="B1736" s="244"/>
      <c r="C1736" s="434"/>
      <c r="D1736" s="434"/>
      <c r="E1736" s="436"/>
      <c r="F1736" s="55"/>
      <c r="G1736" s="55"/>
      <c r="H1736" s="136">
        <f t="shared" si="52"/>
        <v>0</v>
      </c>
      <c r="I1736" s="136">
        <f t="shared" si="53"/>
        <v>0</v>
      </c>
      <c r="J1736" s="73"/>
    </row>
    <row r="1737" spans="1:10" s="5" customFormat="1" hidden="1">
      <c r="A1737" s="1069"/>
      <c r="B1737" s="244"/>
      <c r="C1737" s="434"/>
      <c r="D1737" s="434"/>
      <c r="E1737" s="436"/>
      <c r="F1737" s="55"/>
      <c r="G1737" s="55"/>
      <c r="H1737" s="136">
        <f t="shared" ref="H1737:H1800" si="54">E1737+D1737-C1737</f>
        <v>0</v>
      </c>
      <c r="I1737" s="136">
        <f t="shared" ref="I1737:I1800" si="55">SUM(C1737:E1737)</f>
        <v>0</v>
      </c>
      <c r="J1737" s="73"/>
    </row>
    <row r="1738" spans="1:10" s="5" customFormat="1" hidden="1">
      <c r="A1738" s="1069"/>
      <c r="B1738" s="244"/>
      <c r="C1738" s="434"/>
      <c r="D1738" s="434"/>
      <c r="E1738" s="436"/>
      <c r="F1738" s="55"/>
      <c r="G1738" s="55"/>
      <c r="H1738" s="136">
        <f t="shared" si="54"/>
        <v>0</v>
      </c>
      <c r="I1738" s="136">
        <f t="shared" si="55"/>
        <v>0</v>
      </c>
      <c r="J1738" s="73"/>
    </row>
    <row r="1739" spans="1:10" s="5" customFormat="1" hidden="1">
      <c r="A1739" s="1069"/>
      <c r="B1739" s="244"/>
      <c r="C1739" s="434"/>
      <c r="D1739" s="434"/>
      <c r="E1739" s="436"/>
      <c r="F1739" s="55"/>
      <c r="G1739" s="55"/>
      <c r="H1739" s="136">
        <f t="shared" si="54"/>
        <v>0</v>
      </c>
      <c r="I1739" s="136">
        <f t="shared" si="55"/>
        <v>0</v>
      </c>
      <c r="J1739" s="73"/>
    </row>
    <row r="1740" spans="1:10" s="5" customFormat="1" hidden="1">
      <c r="A1740" s="1069"/>
      <c r="B1740" s="244"/>
      <c r="C1740" s="434"/>
      <c r="D1740" s="434"/>
      <c r="E1740" s="436"/>
      <c r="F1740" s="55"/>
      <c r="G1740" s="55"/>
      <c r="H1740" s="136">
        <f t="shared" si="54"/>
        <v>0</v>
      </c>
      <c r="I1740" s="136">
        <f t="shared" si="55"/>
        <v>0</v>
      </c>
      <c r="J1740" s="73"/>
    </row>
    <row r="1741" spans="1:10" s="5" customFormat="1" hidden="1">
      <c r="A1741" s="1069"/>
      <c r="B1741" s="244"/>
      <c r="C1741" s="434"/>
      <c r="D1741" s="434"/>
      <c r="E1741" s="436"/>
      <c r="F1741" s="55"/>
      <c r="G1741" s="55"/>
      <c r="H1741" s="136">
        <f t="shared" si="54"/>
        <v>0</v>
      </c>
      <c r="I1741" s="136">
        <f t="shared" si="55"/>
        <v>0</v>
      </c>
      <c r="J1741" s="73"/>
    </row>
    <row r="1742" spans="1:10" s="5" customFormat="1" hidden="1">
      <c r="A1742" s="1069"/>
      <c r="B1742" s="244"/>
      <c r="C1742" s="434"/>
      <c r="D1742" s="434"/>
      <c r="E1742" s="436"/>
      <c r="F1742" s="55"/>
      <c r="G1742" s="55"/>
      <c r="H1742" s="136">
        <f t="shared" si="54"/>
        <v>0</v>
      </c>
      <c r="I1742" s="136">
        <f t="shared" si="55"/>
        <v>0</v>
      </c>
      <c r="J1742" s="73"/>
    </row>
    <row r="1743" spans="1:10" s="5" customFormat="1" hidden="1">
      <c r="A1743" s="1069"/>
      <c r="B1743" s="244"/>
      <c r="C1743" s="434"/>
      <c r="D1743" s="434"/>
      <c r="E1743" s="436"/>
      <c r="F1743" s="55"/>
      <c r="G1743" s="55"/>
      <c r="H1743" s="136">
        <f t="shared" si="54"/>
        <v>0</v>
      </c>
      <c r="I1743" s="136">
        <f t="shared" si="55"/>
        <v>0</v>
      </c>
      <c r="J1743" s="73"/>
    </row>
    <row r="1744" spans="1:10" s="5" customFormat="1" hidden="1">
      <c r="A1744" s="1069"/>
      <c r="B1744" s="244"/>
      <c r="C1744" s="434"/>
      <c r="D1744" s="434"/>
      <c r="E1744" s="436"/>
      <c r="F1744" s="55"/>
      <c r="G1744" s="55"/>
      <c r="H1744" s="136">
        <f t="shared" si="54"/>
        <v>0</v>
      </c>
      <c r="I1744" s="136">
        <f t="shared" si="55"/>
        <v>0</v>
      </c>
      <c r="J1744" s="73"/>
    </row>
    <row r="1745" spans="1:10" s="5" customFormat="1" hidden="1">
      <c r="A1745" s="1069"/>
      <c r="B1745" s="244"/>
      <c r="C1745" s="434"/>
      <c r="D1745" s="434"/>
      <c r="E1745" s="436"/>
      <c r="F1745" s="55"/>
      <c r="G1745" s="55"/>
      <c r="H1745" s="136">
        <f t="shared" si="54"/>
        <v>0</v>
      </c>
      <c r="I1745" s="136">
        <f t="shared" si="55"/>
        <v>0</v>
      </c>
      <c r="J1745" s="73"/>
    </row>
    <row r="1746" spans="1:10" s="5" customFormat="1" hidden="1">
      <c r="A1746" s="1069"/>
      <c r="B1746" s="244"/>
      <c r="C1746" s="434"/>
      <c r="D1746" s="434"/>
      <c r="E1746" s="436"/>
      <c r="F1746" s="55"/>
      <c r="G1746" s="55"/>
      <c r="H1746" s="136">
        <f t="shared" si="54"/>
        <v>0</v>
      </c>
      <c r="I1746" s="136">
        <f t="shared" si="55"/>
        <v>0</v>
      </c>
      <c r="J1746" s="73"/>
    </row>
    <row r="1747" spans="1:10" s="5" customFormat="1" hidden="1">
      <c r="A1747" s="1069"/>
      <c r="B1747" s="244"/>
      <c r="C1747" s="434"/>
      <c r="D1747" s="434"/>
      <c r="E1747" s="436"/>
      <c r="F1747" s="55"/>
      <c r="G1747" s="55"/>
      <c r="H1747" s="136">
        <f t="shared" si="54"/>
        <v>0</v>
      </c>
      <c r="I1747" s="136">
        <f t="shared" si="55"/>
        <v>0</v>
      </c>
      <c r="J1747" s="73"/>
    </row>
    <row r="1748" spans="1:10" s="5" customFormat="1" hidden="1">
      <c r="A1748" s="1069"/>
      <c r="B1748" s="244"/>
      <c r="C1748" s="383"/>
      <c r="D1748" s="433"/>
      <c r="E1748" s="433"/>
      <c r="F1748" s="55"/>
      <c r="G1748" s="55"/>
      <c r="H1748" s="136">
        <f t="shared" si="54"/>
        <v>0</v>
      </c>
      <c r="I1748" s="136">
        <f t="shared" si="55"/>
        <v>0</v>
      </c>
      <c r="J1748" s="73"/>
    </row>
    <row r="1749" spans="1:10" ht="28.9" customHeight="1">
      <c r="A1749" s="1068"/>
      <c r="B1749" s="461" t="s">
        <v>253</v>
      </c>
      <c r="C1749" s="462">
        <f>SUM(C1702:C1748)</f>
        <v>21286</v>
      </c>
      <c r="D1749" s="462">
        <f>SUM(D1702:D1748)</f>
        <v>0</v>
      </c>
      <c r="E1749" s="462">
        <f>SUM(E1702:E1748)</f>
        <v>21286</v>
      </c>
      <c r="F1749" s="75">
        <f>SUM(F1702:F1748)</f>
        <v>0</v>
      </c>
      <c r="G1749" s="75">
        <f>SUM(G1702:G1748)</f>
        <v>0</v>
      </c>
      <c r="H1749" s="459">
        <f t="shared" si="54"/>
        <v>0</v>
      </c>
      <c r="I1749" s="459">
        <f t="shared" si="55"/>
        <v>42572</v>
      </c>
      <c r="J1749" s="460"/>
    </row>
    <row r="1750" spans="1:10" s="460" customFormat="1" ht="168.75">
      <c r="A1750" s="1070" t="s">
        <v>403</v>
      </c>
      <c r="B1750" s="310" t="s">
        <v>1680</v>
      </c>
      <c r="C1750" s="453">
        <v>40000</v>
      </c>
      <c r="D1750" s="453"/>
      <c r="E1750" s="453">
        <v>40000</v>
      </c>
      <c r="F1750" s="155"/>
      <c r="G1750" s="155"/>
      <c r="H1750" s="459">
        <f t="shared" si="54"/>
        <v>0</v>
      </c>
      <c r="I1750" s="459">
        <f t="shared" si="55"/>
        <v>80000</v>
      </c>
    </row>
    <row r="1751" spans="1:10" ht="101.25" customHeight="1">
      <c r="A1751" s="1071"/>
      <c r="B1751" s="310" t="s">
        <v>1821</v>
      </c>
      <c r="C1751" s="455">
        <v>177400</v>
      </c>
      <c r="D1751" s="455"/>
      <c r="E1751" s="455">
        <v>177400</v>
      </c>
      <c r="F1751" s="155"/>
      <c r="G1751" s="155"/>
      <c r="H1751" s="459">
        <f t="shared" si="54"/>
        <v>0</v>
      </c>
      <c r="I1751" s="459">
        <f t="shared" si="55"/>
        <v>354800</v>
      </c>
      <c r="J1751" s="460"/>
    </row>
    <row r="1752" spans="1:10" s="464" customFormat="1" ht="131.25">
      <c r="A1752" s="1071"/>
      <c r="B1752" s="310" t="s">
        <v>1681</v>
      </c>
      <c r="C1752" s="456">
        <v>27210</v>
      </c>
      <c r="D1752" s="456"/>
      <c r="E1752" s="456">
        <v>27210</v>
      </c>
      <c r="F1752" s="233"/>
      <c r="G1752" s="233"/>
      <c r="H1752" s="459">
        <f t="shared" si="54"/>
        <v>0</v>
      </c>
      <c r="I1752" s="459">
        <f t="shared" si="55"/>
        <v>54420</v>
      </c>
      <c r="J1752" s="460"/>
    </row>
    <row r="1753" spans="1:10" ht="37.5">
      <c r="A1753" s="1071"/>
      <c r="B1753" s="310" t="s">
        <v>1053</v>
      </c>
      <c r="C1753" s="456">
        <v>540000</v>
      </c>
      <c r="D1753" s="456"/>
      <c r="E1753" s="456">
        <v>540000</v>
      </c>
      <c r="F1753" s="55"/>
      <c r="G1753" s="55"/>
      <c r="H1753" s="459">
        <f t="shared" si="54"/>
        <v>0</v>
      </c>
      <c r="I1753" s="459">
        <f t="shared" si="55"/>
        <v>1080000</v>
      </c>
      <c r="J1753" s="460"/>
    </row>
    <row r="1754" spans="1:10" s="5" customFormat="1" hidden="1">
      <c r="A1754" s="1072"/>
      <c r="B1754" s="244"/>
      <c r="C1754" s="430"/>
      <c r="D1754" s="430"/>
      <c r="E1754" s="430"/>
      <c r="F1754" s="55"/>
      <c r="G1754" s="55"/>
      <c r="H1754" s="136">
        <f t="shared" si="54"/>
        <v>0</v>
      </c>
      <c r="I1754" s="136">
        <f t="shared" si="55"/>
        <v>0</v>
      </c>
      <c r="J1754" s="73"/>
    </row>
    <row r="1755" spans="1:10" s="5" customFormat="1" hidden="1">
      <c r="A1755" s="1072"/>
      <c r="B1755" s="244"/>
      <c r="C1755" s="383"/>
      <c r="D1755" s="383"/>
      <c r="E1755" s="430"/>
      <c r="F1755" s="55"/>
      <c r="G1755" s="55"/>
      <c r="H1755" s="136">
        <f t="shared" si="54"/>
        <v>0</v>
      </c>
      <c r="I1755" s="136">
        <f t="shared" si="55"/>
        <v>0</v>
      </c>
      <c r="J1755" s="73"/>
    </row>
    <row r="1756" spans="1:10" s="5" customFormat="1" hidden="1">
      <c r="A1756" s="1072"/>
      <c r="B1756" s="244"/>
      <c r="C1756" s="383"/>
      <c r="D1756" s="383"/>
      <c r="E1756" s="430"/>
      <c r="F1756" s="55"/>
      <c r="G1756" s="55"/>
      <c r="H1756" s="136">
        <f t="shared" si="54"/>
        <v>0</v>
      </c>
      <c r="I1756" s="136">
        <f t="shared" si="55"/>
        <v>0</v>
      </c>
      <c r="J1756" s="73"/>
    </row>
    <row r="1757" spans="1:10" s="5" customFormat="1" hidden="1">
      <c r="A1757" s="1072"/>
      <c r="B1757" s="244"/>
      <c r="C1757" s="383"/>
      <c r="D1757" s="383"/>
      <c r="E1757" s="430"/>
      <c r="F1757" s="55"/>
      <c r="G1757" s="55"/>
      <c r="H1757" s="136">
        <f t="shared" si="54"/>
        <v>0</v>
      </c>
      <c r="I1757" s="136">
        <f t="shared" si="55"/>
        <v>0</v>
      </c>
      <c r="J1757" s="73"/>
    </row>
    <row r="1758" spans="1:10" s="5" customFormat="1" hidden="1">
      <c r="A1758" s="1072"/>
      <c r="B1758" s="244"/>
      <c r="C1758" s="430"/>
      <c r="D1758" s="430"/>
      <c r="E1758" s="430"/>
      <c r="F1758" s="55"/>
      <c r="G1758" s="55"/>
      <c r="H1758" s="136">
        <f t="shared" si="54"/>
        <v>0</v>
      </c>
      <c r="I1758" s="136">
        <f t="shared" si="55"/>
        <v>0</v>
      </c>
      <c r="J1758" s="73"/>
    </row>
    <row r="1759" spans="1:10" s="5" customFormat="1" hidden="1">
      <c r="A1759" s="1072"/>
      <c r="B1759" s="244"/>
      <c r="C1759" s="383"/>
      <c r="D1759" s="383"/>
      <c r="E1759" s="430"/>
      <c r="F1759" s="55"/>
      <c r="G1759" s="55"/>
      <c r="H1759" s="136">
        <f t="shared" si="54"/>
        <v>0</v>
      </c>
      <c r="I1759" s="136">
        <f t="shared" si="55"/>
        <v>0</v>
      </c>
      <c r="J1759" s="73"/>
    </row>
    <row r="1760" spans="1:10" s="5" customFormat="1" hidden="1">
      <c r="A1760" s="1072"/>
      <c r="B1760" s="244"/>
      <c r="C1760" s="383"/>
      <c r="D1760" s="383"/>
      <c r="E1760" s="430"/>
      <c r="F1760" s="55"/>
      <c r="G1760" s="55"/>
      <c r="H1760" s="136">
        <f t="shared" si="54"/>
        <v>0</v>
      </c>
      <c r="I1760" s="136">
        <f t="shared" si="55"/>
        <v>0</v>
      </c>
      <c r="J1760" s="73"/>
    </row>
    <row r="1761" spans="1:10" s="5" customFormat="1" hidden="1">
      <c r="A1761" s="1072"/>
      <c r="B1761" s="244"/>
      <c r="C1761" s="383"/>
      <c r="D1761" s="383"/>
      <c r="E1761" s="430"/>
      <c r="F1761" s="55"/>
      <c r="G1761" s="55"/>
      <c r="H1761" s="136">
        <f t="shared" si="54"/>
        <v>0</v>
      </c>
      <c r="I1761" s="136">
        <f t="shared" si="55"/>
        <v>0</v>
      </c>
      <c r="J1761" s="73"/>
    </row>
    <row r="1762" spans="1:10" s="5" customFormat="1" hidden="1">
      <c r="A1762" s="1072"/>
      <c r="B1762" s="244"/>
      <c r="C1762" s="383"/>
      <c r="D1762" s="383"/>
      <c r="E1762" s="430"/>
      <c r="F1762" s="55"/>
      <c r="G1762" s="55"/>
      <c r="H1762" s="136">
        <f t="shared" si="54"/>
        <v>0</v>
      </c>
      <c r="I1762" s="136">
        <f t="shared" si="55"/>
        <v>0</v>
      </c>
      <c r="J1762" s="73"/>
    </row>
    <row r="1763" spans="1:10" s="5" customFormat="1" hidden="1">
      <c r="A1763" s="1072"/>
      <c r="B1763" s="244"/>
      <c r="C1763" s="383"/>
      <c r="D1763" s="430"/>
      <c r="E1763" s="430"/>
      <c r="F1763" s="55"/>
      <c r="G1763" s="55"/>
      <c r="H1763" s="136">
        <f t="shared" si="54"/>
        <v>0</v>
      </c>
      <c r="I1763" s="136">
        <f t="shared" si="55"/>
        <v>0</v>
      </c>
      <c r="J1763" s="73"/>
    </row>
    <row r="1764" spans="1:10" s="5" customFormat="1" hidden="1">
      <c r="A1764" s="1072"/>
      <c r="B1764" s="244"/>
      <c r="C1764" s="383"/>
      <c r="D1764" s="383"/>
      <c r="E1764" s="433"/>
      <c r="F1764" s="55"/>
      <c r="G1764" s="55"/>
      <c r="H1764" s="136">
        <f t="shared" si="54"/>
        <v>0</v>
      </c>
      <c r="I1764" s="136">
        <f t="shared" si="55"/>
        <v>0</v>
      </c>
      <c r="J1764" s="73"/>
    </row>
    <row r="1765" spans="1:10" s="5" customFormat="1" hidden="1">
      <c r="A1765" s="1072"/>
      <c r="B1765" s="246"/>
      <c r="C1765" s="435"/>
      <c r="D1765" s="435"/>
      <c r="E1765" s="435"/>
      <c r="F1765" s="55"/>
      <c r="G1765" s="55"/>
      <c r="H1765" s="136">
        <f t="shared" si="54"/>
        <v>0</v>
      </c>
      <c r="I1765" s="136">
        <f t="shared" si="55"/>
        <v>0</v>
      </c>
      <c r="J1765" s="73"/>
    </row>
    <row r="1766" spans="1:10" s="5" customFormat="1" hidden="1">
      <c r="A1766" s="1072"/>
      <c r="B1766" s="246"/>
      <c r="C1766" s="435"/>
      <c r="D1766" s="435"/>
      <c r="E1766" s="435"/>
      <c r="F1766" s="55"/>
      <c r="G1766" s="55"/>
      <c r="H1766" s="136">
        <f t="shared" si="54"/>
        <v>0</v>
      </c>
      <c r="I1766" s="136">
        <f t="shared" si="55"/>
        <v>0</v>
      </c>
      <c r="J1766" s="73"/>
    </row>
    <row r="1767" spans="1:10" s="5" customFormat="1" hidden="1">
      <c r="A1767" s="1072"/>
      <c r="B1767" s="246"/>
      <c r="C1767" s="435"/>
      <c r="D1767" s="435"/>
      <c r="E1767" s="435"/>
      <c r="F1767" s="55"/>
      <c r="G1767" s="55"/>
      <c r="H1767" s="136">
        <f t="shared" si="54"/>
        <v>0</v>
      </c>
      <c r="I1767" s="136">
        <f t="shared" si="55"/>
        <v>0</v>
      </c>
      <c r="J1767" s="73"/>
    </row>
    <row r="1768" spans="1:10" s="5" customFormat="1" hidden="1">
      <c r="A1768" s="1072"/>
      <c r="B1768" s="246"/>
      <c r="C1768" s="435"/>
      <c r="D1768" s="435"/>
      <c r="E1768" s="435"/>
      <c r="F1768" s="55"/>
      <c r="G1768" s="55"/>
      <c r="H1768" s="136">
        <f t="shared" si="54"/>
        <v>0</v>
      </c>
      <c r="I1768" s="136">
        <f t="shared" si="55"/>
        <v>0</v>
      </c>
      <c r="J1768" s="73"/>
    </row>
    <row r="1769" spans="1:10" s="5" customFormat="1" hidden="1">
      <c r="A1769" s="1072"/>
      <c r="B1769" s="246"/>
      <c r="C1769" s="435"/>
      <c r="D1769" s="435"/>
      <c r="E1769" s="435"/>
      <c r="F1769" s="55"/>
      <c r="G1769" s="55"/>
      <c r="H1769" s="136">
        <f t="shared" si="54"/>
        <v>0</v>
      </c>
      <c r="I1769" s="136">
        <f t="shared" si="55"/>
        <v>0</v>
      </c>
      <c r="J1769" s="73"/>
    </row>
    <row r="1770" spans="1:10" s="5" customFormat="1" hidden="1">
      <c r="A1770" s="1072"/>
      <c r="B1770" s="246"/>
      <c r="C1770" s="435"/>
      <c r="D1770" s="435"/>
      <c r="E1770" s="435"/>
      <c r="F1770" s="55"/>
      <c r="G1770" s="55"/>
      <c r="H1770" s="136">
        <f t="shared" si="54"/>
        <v>0</v>
      </c>
      <c r="I1770" s="136">
        <f t="shared" si="55"/>
        <v>0</v>
      </c>
      <c r="J1770" s="73"/>
    </row>
    <row r="1771" spans="1:10" s="5" customFormat="1" hidden="1">
      <c r="A1771" s="1072"/>
      <c r="B1771" s="246"/>
      <c r="C1771" s="434"/>
      <c r="D1771" s="434"/>
      <c r="E1771" s="435"/>
      <c r="F1771" s="55"/>
      <c r="G1771" s="55"/>
      <c r="H1771" s="136">
        <f t="shared" si="54"/>
        <v>0</v>
      </c>
      <c r="I1771" s="136">
        <f t="shared" si="55"/>
        <v>0</v>
      </c>
      <c r="J1771" s="73"/>
    </row>
    <row r="1772" spans="1:10" s="5" customFormat="1" hidden="1">
      <c r="A1772" s="1072"/>
      <c r="B1772" s="246"/>
      <c r="C1772" s="434"/>
      <c r="D1772" s="434"/>
      <c r="E1772" s="435"/>
      <c r="F1772" s="55"/>
      <c r="G1772" s="55"/>
      <c r="H1772" s="136">
        <f t="shared" si="54"/>
        <v>0</v>
      </c>
      <c r="I1772" s="136">
        <f t="shared" si="55"/>
        <v>0</v>
      </c>
      <c r="J1772" s="73"/>
    </row>
    <row r="1773" spans="1:10" s="5" customFormat="1" hidden="1">
      <c r="A1773" s="1072"/>
      <c r="B1773" s="246"/>
      <c r="C1773" s="434"/>
      <c r="D1773" s="434"/>
      <c r="E1773" s="435"/>
      <c r="F1773" s="55"/>
      <c r="G1773" s="55"/>
      <c r="H1773" s="136">
        <f t="shared" si="54"/>
        <v>0</v>
      </c>
      <c r="I1773" s="136">
        <f t="shared" si="55"/>
        <v>0</v>
      </c>
      <c r="J1773" s="73"/>
    </row>
    <row r="1774" spans="1:10" s="5" customFormat="1" hidden="1">
      <c r="A1774" s="1072"/>
      <c r="B1774" s="244"/>
      <c r="C1774" s="434"/>
      <c r="D1774" s="434"/>
      <c r="E1774" s="436"/>
      <c r="F1774" s="55"/>
      <c r="G1774" s="55"/>
      <c r="H1774" s="136">
        <f t="shared" si="54"/>
        <v>0</v>
      </c>
      <c r="I1774" s="136">
        <f t="shared" si="55"/>
        <v>0</v>
      </c>
      <c r="J1774" s="73"/>
    </row>
    <row r="1775" spans="1:10" s="5" customFormat="1" hidden="1">
      <c r="A1775" s="1072"/>
      <c r="B1775" s="244"/>
      <c r="C1775" s="434"/>
      <c r="D1775" s="434"/>
      <c r="E1775" s="436"/>
      <c r="F1775" s="55"/>
      <c r="G1775" s="55"/>
      <c r="H1775" s="136">
        <f t="shared" si="54"/>
        <v>0</v>
      </c>
      <c r="I1775" s="136">
        <f t="shared" si="55"/>
        <v>0</v>
      </c>
      <c r="J1775" s="73"/>
    </row>
    <row r="1776" spans="1:10" s="5" customFormat="1" hidden="1">
      <c r="A1776" s="1072"/>
      <c r="B1776" s="244"/>
      <c r="C1776" s="434"/>
      <c r="D1776" s="434"/>
      <c r="E1776" s="436"/>
      <c r="F1776" s="55"/>
      <c r="G1776" s="55"/>
      <c r="H1776" s="136">
        <f t="shared" si="54"/>
        <v>0</v>
      </c>
      <c r="I1776" s="136">
        <f t="shared" si="55"/>
        <v>0</v>
      </c>
      <c r="J1776" s="73"/>
    </row>
    <row r="1777" spans="1:10" s="5" customFormat="1" hidden="1">
      <c r="A1777" s="1072"/>
      <c r="B1777" s="244"/>
      <c r="C1777" s="434"/>
      <c r="D1777" s="434"/>
      <c r="E1777" s="436"/>
      <c r="F1777" s="55"/>
      <c r="G1777" s="55"/>
      <c r="H1777" s="136">
        <f t="shared" si="54"/>
        <v>0</v>
      </c>
      <c r="I1777" s="136">
        <f t="shared" si="55"/>
        <v>0</v>
      </c>
      <c r="J1777" s="73"/>
    </row>
    <row r="1778" spans="1:10" s="5" customFormat="1" hidden="1">
      <c r="A1778" s="1072"/>
      <c r="B1778" s="244"/>
      <c r="C1778" s="434"/>
      <c r="D1778" s="434"/>
      <c r="E1778" s="436"/>
      <c r="F1778" s="55"/>
      <c r="G1778" s="55"/>
      <c r="H1778" s="136">
        <f t="shared" si="54"/>
        <v>0</v>
      </c>
      <c r="I1778" s="136">
        <f t="shared" si="55"/>
        <v>0</v>
      </c>
      <c r="J1778" s="73"/>
    </row>
    <row r="1779" spans="1:10" s="5" customFormat="1" hidden="1">
      <c r="A1779" s="1072"/>
      <c r="B1779" s="244"/>
      <c r="C1779" s="434"/>
      <c r="D1779" s="434"/>
      <c r="E1779" s="436"/>
      <c r="F1779" s="55"/>
      <c r="G1779" s="55"/>
      <c r="H1779" s="136">
        <f t="shared" si="54"/>
        <v>0</v>
      </c>
      <c r="I1779" s="136">
        <f t="shared" si="55"/>
        <v>0</v>
      </c>
      <c r="J1779" s="73"/>
    </row>
    <row r="1780" spans="1:10" s="5" customFormat="1" hidden="1">
      <c r="A1780" s="1072"/>
      <c r="B1780" s="244"/>
      <c r="C1780" s="434"/>
      <c r="D1780" s="434"/>
      <c r="E1780" s="436"/>
      <c r="F1780" s="55"/>
      <c r="G1780" s="55"/>
      <c r="H1780" s="136">
        <f t="shared" si="54"/>
        <v>0</v>
      </c>
      <c r="I1780" s="136">
        <f t="shared" si="55"/>
        <v>0</v>
      </c>
      <c r="J1780" s="73"/>
    </row>
    <row r="1781" spans="1:10" s="5" customFormat="1" hidden="1">
      <c r="A1781" s="1072"/>
      <c r="B1781" s="244"/>
      <c r="C1781" s="434"/>
      <c r="D1781" s="434"/>
      <c r="E1781" s="436"/>
      <c r="F1781" s="55"/>
      <c r="G1781" s="55"/>
      <c r="H1781" s="136">
        <f t="shared" si="54"/>
        <v>0</v>
      </c>
      <c r="I1781" s="136">
        <f t="shared" si="55"/>
        <v>0</v>
      </c>
      <c r="J1781" s="73"/>
    </row>
    <row r="1782" spans="1:10" s="5" customFormat="1" hidden="1">
      <c r="A1782" s="1072"/>
      <c r="B1782" s="244"/>
      <c r="C1782" s="434"/>
      <c r="D1782" s="434"/>
      <c r="E1782" s="436"/>
      <c r="F1782" s="55"/>
      <c r="G1782" s="55"/>
      <c r="H1782" s="136">
        <f t="shared" si="54"/>
        <v>0</v>
      </c>
      <c r="I1782" s="136">
        <f t="shared" si="55"/>
        <v>0</v>
      </c>
      <c r="J1782" s="73"/>
    </row>
    <row r="1783" spans="1:10" s="5" customFormat="1" hidden="1">
      <c r="A1783" s="1072"/>
      <c r="B1783" s="244"/>
      <c r="C1783" s="383"/>
      <c r="D1783" s="430"/>
      <c r="E1783" s="430"/>
      <c r="F1783" s="55"/>
      <c r="G1783" s="55"/>
      <c r="H1783" s="136">
        <f t="shared" si="54"/>
        <v>0</v>
      </c>
      <c r="I1783" s="136">
        <f t="shared" si="55"/>
        <v>0</v>
      </c>
      <c r="J1783" s="73"/>
    </row>
    <row r="1784" spans="1:10" s="5" customFormat="1" hidden="1">
      <c r="A1784" s="1072"/>
      <c r="B1784" s="244"/>
      <c r="C1784" s="434"/>
      <c r="D1784" s="434"/>
      <c r="E1784" s="436"/>
      <c r="F1784" s="55"/>
      <c r="G1784" s="55"/>
      <c r="H1784" s="136">
        <f t="shared" si="54"/>
        <v>0</v>
      </c>
      <c r="I1784" s="136">
        <f t="shared" si="55"/>
        <v>0</v>
      </c>
      <c r="J1784" s="73"/>
    </row>
    <row r="1785" spans="1:10" s="5" customFormat="1" hidden="1">
      <c r="A1785" s="1072"/>
      <c r="B1785" s="244"/>
      <c r="C1785" s="434"/>
      <c r="D1785" s="434"/>
      <c r="E1785" s="436"/>
      <c r="F1785" s="55"/>
      <c r="G1785" s="55"/>
      <c r="H1785" s="136">
        <f t="shared" si="54"/>
        <v>0</v>
      </c>
      <c r="I1785" s="136">
        <f t="shared" si="55"/>
        <v>0</v>
      </c>
      <c r="J1785" s="73"/>
    </row>
    <row r="1786" spans="1:10" s="5" customFormat="1" hidden="1">
      <c r="A1786" s="1072"/>
      <c r="B1786" s="244"/>
      <c r="C1786" s="434"/>
      <c r="D1786" s="434"/>
      <c r="E1786" s="436"/>
      <c r="F1786" s="55"/>
      <c r="G1786" s="55"/>
      <c r="H1786" s="136">
        <f t="shared" si="54"/>
        <v>0</v>
      </c>
      <c r="I1786" s="136">
        <f t="shared" si="55"/>
        <v>0</v>
      </c>
      <c r="J1786" s="73"/>
    </row>
    <row r="1787" spans="1:10" s="5" customFormat="1" hidden="1">
      <c r="A1787" s="1072"/>
      <c r="B1787" s="244"/>
      <c r="C1787" s="434"/>
      <c r="D1787" s="434"/>
      <c r="E1787" s="436"/>
      <c r="F1787" s="55"/>
      <c r="G1787" s="55"/>
      <c r="H1787" s="136">
        <f t="shared" si="54"/>
        <v>0</v>
      </c>
      <c r="I1787" s="136">
        <f t="shared" si="55"/>
        <v>0</v>
      </c>
      <c r="J1787" s="73"/>
    </row>
    <row r="1788" spans="1:10" s="5" customFormat="1" hidden="1">
      <c r="A1788" s="1072"/>
      <c r="B1788" s="244"/>
      <c r="C1788" s="434"/>
      <c r="D1788" s="434"/>
      <c r="E1788" s="436"/>
      <c r="F1788" s="55"/>
      <c r="G1788" s="55"/>
      <c r="H1788" s="136">
        <f t="shared" si="54"/>
        <v>0</v>
      </c>
      <c r="I1788" s="136">
        <f t="shared" si="55"/>
        <v>0</v>
      </c>
      <c r="J1788" s="73"/>
    </row>
    <row r="1789" spans="1:10" s="5" customFormat="1" hidden="1">
      <c r="A1789" s="1072"/>
      <c r="B1789" s="244"/>
      <c r="C1789" s="434"/>
      <c r="D1789" s="434"/>
      <c r="E1789" s="436"/>
      <c r="F1789" s="55"/>
      <c r="G1789" s="55"/>
      <c r="H1789" s="136">
        <f t="shared" si="54"/>
        <v>0</v>
      </c>
      <c r="I1789" s="136">
        <f t="shared" si="55"/>
        <v>0</v>
      </c>
      <c r="J1789" s="73"/>
    </row>
    <row r="1790" spans="1:10" s="5" customFormat="1" hidden="1">
      <c r="A1790" s="1072"/>
      <c r="B1790" s="244"/>
      <c r="C1790" s="434"/>
      <c r="D1790" s="434"/>
      <c r="E1790" s="436"/>
      <c r="F1790" s="55"/>
      <c r="G1790" s="55"/>
      <c r="H1790" s="136">
        <f t="shared" si="54"/>
        <v>0</v>
      </c>
      <c r="I1790" s="136">
        <f t="shared" si="55"/>
        <v>0</v>
      </c>
      <c r="J1790" s="73"/>
    </row>
    <row r="1791" spans="1:10" s="5" customFormat="1" hidden="1">
      <c r="A1791" s="1072"/>
      <c r="B1791" s="244"/>
      <c r="C1791" s="434"/>
      <c r="D1791" s="434"/>
      <c r="E1791" s="436"/>
      <c r="F1791" s="55"/>
      <c r="G1791" s="55"/>
      <c r="H1791" s="136">
        <f t="shared" si="54"/>
        <v>0</v>
      </c>
      <c r="I1791" s="136">
        <f t="shared" si="55"/>
        <v>0</v>
      </c>
      <c r="J1791" s="73"/>
    </row>
    <row r="1792" spans="1:10" s="5" customFormat="1" hidden="1">
      <c r="A1792" s="1072"/>
      <c r="B1792" s="244"/>
      <c r="C1792" s="434"/>
      <c r="D1792" s="434"/>
      <c r="E1792" s="436"/>
      <c r="F1792" s="55"/>
      <c r="G1792" s="55"/>
      <c r="H1792" s="136">
        <f t="shared" si="54"/>
        <v>0</v>
      </c>
      <c r="I1792" s="136">
        <f t="shared" si="55"/>
        <v>0</v>
      </c>
      <c r="J1792" s="73"/>
    </row>
    <row r="1793" spans="1:10" s="5" customFormat="1" hidden="1">
      <c r="A1793" s="1072"/>
      <c r="B1793" s="244"/>
      <c r="C1793" s="434"/>
      <c r="D1793" s="434"/>
      <c r="E1793" s="436"/>
      <c r="F1793" s="55"/>
      <c r="G1793" s="55"/>
      <c r="H1793" s="136">
        <f t="shared" si="54"/>
        <v>0</v>
      </c>
      <c r="I1793" s="136">
        <f t="shared" si="55"/>
        <v>0</v>
      </c>
      <c r="J1793" s="73"/>
    </row>
    <row r="1794" spans="1:10" s="5" customFormat="1" hidden="1">
      <c r="A1794" s="1072"/>
      <c r="B1794" s="244"/>
      <c r="C1794" s="434"/>
      <c r="D1794" s="434"/>
      <c r="E1794" s="436"/>
      <c r="F1794" s="55"/>
      <c r="G1794" s="55"/>
      <c r="H1794" s="136">
        <f t="shared" si="54"/>
        <v>0</v>
      </c>
      <c r="I1794" s="136">
        <f t="shared" si="55"/>
        <v>0</v>
      </c>
      <c r="J1794" s="73"/>
    </row>
    <row r="1795" spans="1:10" s="5" customFormat="1" hidden="1">
      <c r="A1795" s="1072"/>
      <c r="B1795" s="244"/>
      <c r="C1795" s="434"/>
      <c r="D1795" s="434"/>
      <c r="E1795" s="436"/>
      <c r="F1795" s="55"/>
      <c r="G1795" s="55"/>
      <c r="H1795" s="136">
        <f t="shared" si="54"/>
        <v>0</v>
      </c>
      <c r="I1795" s="136">
        <f t="shared" si="55"/>
        <v>0</v>
      </c>
      <c r="J1795" s="73"/>
    </row>
    <row r="1796" spans="1:10" s="5" customFormat="1" hidden="1">
      <c r="A1796" s="1072"/>
      <c r="B1796" s="244"/>
      <c r="C1796" s="383"/>
      <c r="D1796" s="433"/>
      <c r="E1796" s="433"/>
      <c r="F1796" s="55"/>
      <c r="G1796" s="55"/>
      <c r="H1796" s="136">
        <f t="shared" si="54"/>
        <v>0</v>
      </c>
      <c r="I1796" s="136">
        <f t="shared" si="55"/>
        <v>0</v>
      </c>
      <c r="J1796" s="73"/>
    </row>
    <row r="1797" spans="1:10">
      <c r="A1797" s="1073"/>
      <c r="B1797" s="461" t="s">
        <v>253</v>
      </c>
      <c r="C1797" s="470">
        <f>SUM(C1750:C1796)</f>
        <v>784610</v>
      </c>
      <c r="D1797" s="470">
        <f>SUM(D1750:D1796)</f>
        <v>0</v>
      </c>
      <c r="E1797" s="470">
        <f>SUM(E1750:E1796)</f>
        <v>784610</v>
      </c>
      <c r="F1797" s="75">
        <f>SUM(F1750:F1796)</f>
        <v>0</v>
      </c>
      <c r="G1797" s="75">
        <f>SUM(G1750:G1796)</f>
        <v>0</v>
      </c>
      <c r="H1797" s="459">
        <f t="shared" si="54"/>
        <v>0</v>
      </c>
      <c r="I1797" s="459">
        <f t="shared" si="55"/>
        <v>1569220</v>
      </c>
      <c r="J1797" s="460"/>
    </row>
    <row r="1798" spans="1:10" ht="75">
      <c r="A1798" s="1068" t="s">
        <v>349</v>
      </c>
      <c r="B1798" s="310" t="s">
        <v>1060</v>
      </c>
      <c r="C1798" s="469">
        <f>760000-220000</f>
        <v>540000</v>
      </c>
      <c r="D1798" s="469"/>
      <c r="E1798" s="469">
        <f>760000-220000</f>
        <v>540000</v>
      </c>
      <c r="F1798" s="401"/>
      <c r="G1798" s="401"/>
      <c r="H1798" s="459">
        <f t="shared" si="54"/>
        <v>0</v>
      </c>
      <c r="I1798" s="459">
        <f t="shared" si="55"/>
        <v>1080000</v>
      </c>
      <c r="J1798" s="460"/>
    </row>
    <row r="1799" spans="1:10" ht="93.75">
      <c r="A1799" s="1068"/>
      <c r="B1799" s="310" t="s">
        <v>1819</v>
      </c>
      <c r="C1799" s="469">
        <v>79300</v>
      </c>
      <c r="D1799" s="469"/>
      <c r="E1799" s="469">
        <v>79300</v>
      </c>
      <c r="F1799" s="153"/>
      <c r="G1799" s="153"/>
      <c r="H1799" s="459">
        <f t="shared" si="54"/>
        <v>0</v>
      </c>
      <c r="I1799" s="459">
        <f t="shared" si="55"/>
        <v>158600</v>
      </c>
      <c r="J1799" s="460"/>
    </row>
    <row r="1800" spans="1:10" ht="131.25">
      <c r="A1800" s="1068"/>
      <c r="B1800" s="310" t="s">
        <v>1681</v>
      </c>
      <c r="C1800" s="469">
        <v>78900</v>
      </c>
      <c r="D1800" s="469"/>
      <c r="E1800" s="469">
        <v>78900</v>
      </c>
      <c r="F1800" s="153"/>
      <c r="G1800" s="153"/>
      <c r="H1800" s="459">
        <f t="shared" si="54"/>
        <v>0</v>
      </c>
      <c r="I1800" s="459">
        <f t="shared" si="55"/>
        <v>157800</v>
      </c>
      <c r="J1800" s="460"/>
    </row>
    <row r="1801" spans="1:10">
      <c r="A1801" s="1068"/>
      <c r="B1801" s="461" t="s">
        <v>253</v>
      </c>
      <c r="C1801" s="462">
        <f>SUM(C1798:C1800)</f>
        <v>698200</v>
      </c>
      <c r="D1801" s="462">
        <f>SUM(D1798:D1800)</f>
        <v>0</v>
      </c>
      <c r="E1801" s="462">
        <f>SUM(E1798:E1800)</f>
        <v>698200</v>
      </c>
      <c r="F1801" s="153"/>
      <c r="G1801" s="153"/>
      <c r="H1801" s="459">
        <f t="shared" ref="H1801:H1865" si="56">E1801+D1801-C1801</f>
        <v>0</v>
      </c>
      <c r="I1801" s="459">
        <f t="shared" ref="I1801:I1864" si="57">SUM(C1801:E1801)</f>
        <v>1396400</v>
      </c>
      <c r="J1801" s="460"/>
    </row>
    <row r="1802" spans="1:10" ht="93.75">
      <c r="A1802" s="1068" t="s">
        <v>1059</v>
      </c>
      <c r="B1802" s="310" t="s">
        <v>1821</v>
      </c>
      <c r="C1802" s="452">
        <v>30200</v>
      </c>
      <c r="D1802" s="452"/>
      <c r="E1802" s="452">
        <v>30200</v>
      </c>
      <c r="F1802" s="153"/>
      <c r="G1802" s="153"/>
      <c r="H1802" s="459">
        <f t="shared" si="56"/>
        <v>0</v>
      </c>
      <c r="I1802" s="459">
        <f t="shared" si="57"/>
        <v>60400</v>
      </c>
      <c r="J1802" s="460"/>
    </row>
    <row r="1803" spans="1:10" s="5" customFormat="1" ht="75" hidden="1">
      <c r="A1803" s="1069"/>
      <c r="B1803" s="244" t="s">
        <v>1056</v>
      </c>
      <c r="C1803" s="433">
        <f>1805558-1805558</f>
        <v>0</v>
      </c>
      <c r="D1803" s="433"/>
      <c r="E1803" s="429">
        <f>1805558-1805558</f>
        <v>0</v>
      </c>
      <c r="F1803" s="153"/>
      <c r="G1803" s="153"/>
      <c r="H1803" s="136">
        <f t="shared" si="56"/>
        <v>0</v>
      </c>
      <c r="I1803" s="136">
        <f t="shared" si="57"/>
        <v>0</v>
      </c>
      <c r="J1803" s="73"/>
    </row>
    <row r="1804" spans="1:10" s="5" customFormat="1" ht="75" hidden="1">
      <c r="A1804" s="1069"/>
      <c r="B1804" s="244" t="s">
        <v>1057</v>
      </c>
      <c r="C1804" s="433">
        <f>2000000-2000000</f>
        <v>0</v>
      </c>
      <c r="D1804" s="433"/>
      <c r="E1804" s="429">
        <f>2000000-2000000</f>
        <v>0</v>
      </c>
      <c r="F1804" s="153"/>
      <c r="G1804" s="153"/>
      <c r="H1804" s="136">
        <f t="shared" si="56"/>
        <v>0</v>
      </c>
      <c r="I1804" s="136">
        <f t="shared" si="57"/>
        <v>0</v>
      </c>
      <c r="J1804" s="73"/>
    </row>
    <row r="1805" spans="1:10" ht="69" customHeight="1">
      <c r="A1805" s="1068"/>
      <c r="B1805" s="310" t="s">
        <v>1053</v>
      </c>
      <c r="C1805" s="452">
        <v>540000</v>
      </c>
      <c r="D1805" s="452"/>
      <c r="E1805" s="452">
        <v>540000</v>
      </c>
      <c r="F1805" s="153"/>
      <c r="G1805" s="153"/>
      <c r="H1805" s="459">
        <f t="shared" si="56"/>
        <v>0</v>
      </c>
      <c r="I1805" s="459">
        <f t="shared" si="57"/>
        <v>1080000</v>
      </c>
      <c r="J1805" s="460"/>
    </row>
    <row r="1806" spans="1:10" s="5" customFormat="1" ht="131.25" hidden="1">
      <c r="A1806" s="1069"/>
      <c r="B1806" s="244" t="s">
        <v>1058</v>
      </c>
      <c r="C1806" s="433">
        <f>1850329-1850329</f>
        <v>0</v>
      </c>
      <c r="D1806" s="433"/>
      <c r="E1806" s="429">
        <f>1850329-1850329</f>
        <v>0</v>
      </c>
      <c r="F1806" s="153"/>
      <c r="G1806" s="153"/>
      <c r="H1806" s="136">
        <f t="shared" si="56"/>
        <v>0</v>
      </c>
      <c r="I1806" s="136">
        <f t="shared" si="57"/>
        <v>0</v>
      </c>
      <c r="J1806" s="73"/>
    </row>
    <row r="1807" spans="1:10" ht="131.25">
      <c r="A1807" s="1068"/>
      <c r="B1807" s="310" t="s">
        <v>1681</v>
      </c>
      <c r="C1807" s="453">
        <v>26290</v>
      </c>
      <c r="D1807" s="453"/>
      <c r="E1807" s="453">
        <v>26290</v>
      </c>
      <c r="F1807" s="153"/>
      <c r="G1807" s="153"/>
      <c r="H1807" s="459">
        <f t="shared" si="56"/>
        <v>0</v>
      </c>
      <c r="I1807" s="459">
        <f t="shared" si="57"/>
        <v>52580</v>
      </c>
      <c r="J1807" s="460"/>
    </row>
    <row r="1808" spans="1:10" s="5" customFormat="1" hidden="1">
      <c r="A1808" s="1069"/>
      <c r="B1808" s="244"/>
      <c r="C1808" s="383"/>
      <c r="D1808" s="383"/>
      <c r="E1808" s="383"/>
      <c r="F1808" s="153"/>
      <c r="G1808" s="153"/>
      <c r="H1808" s="136">
        <f t="shared" si="56"/>
        <v>0</v>
      </c>
      <c r="I1808" s="136">
        <f t="shared" si="57"/>
        <v>0</v>
      </c>
      <c r="J1808" s="73"/>
    </row>
    <row r="1809" spans="1:10" s="5" customFormat="1" hidden="1">
      <c r="A1809" s="1069"/>
      <c r="B1809" s="244"/>
      <c r="C1809" s="383"/>
      <c r="D1809" s="383"/>
      <c r="E1809" s="383"/>
      <c r="F1809" s="153"/>
      <c r="G1809" s="153"/>
      <c r="H1809" s="136">
        <f t="shared" si="56"/>
        <v>0</v>
      </c>
      <c r="I1809" s="136">
        <f t="shared" si="57"/>
        <v>0</v>
      </c>
      <c r="J1809" s="73"/>
    </row>
    <row r="1810" spans="1:10" s="5" customFormat="1" hidden="1">
      <c r="A1810" s="1069"/>
      <c r="B1810" s="244"/>
      <c r="C1810" s="383"/>
      <c r="D1810" s="383"/>
      <c r="E1810" s="383"/>
      <c r="F1810" s="153"/>
      <c r="G1810" s="153"/>
      <c r="H1810" s="136">
        <f t="shared" si="56"/>
        <v>0</v>
      </c>
      <c r="I1810" s="136">
        <f t="shared" si="57"/>
        <v>0</v>
      </c>
      <c r="J1810" s="73"/>
    </row>
    <row r="1811" spans="1:10">
      <c r="A1811" s="1068"/>
      <c r="B1811" s="461" t="s">
        <v>253</v>
      </c>
      <c r="C1811" s="462">
        <f>SUM(C1802:C1810)</f>
        <v>596490</v>
      </c>
      <c r="D1811" s="462">
        <f>SUM(D1802:D1810)</f>
        <v>0</v>
      </c>
      <c r="E1811" s="462">
        <f>SUM(E1802:E1810)</f>
        <v>596490</v>
      </c>
      <c r="F1811" s="248">
        <f>SUM(F1802:F1810)</f>
        <v>0</v>
      </c>
      <c r="G1811" s="248">
        <f>SUM(G1802:G1810)</f>
        <v>0</v>
      </c>
      <c r="H1811" s="459">
        <f t="shared" si="56"/>
        <v>0</v>
      </c>
      <c r="I1811" s="459">
        <f t="shared" si="57"/>
        <v>1192980</v>
      </c>
      <c r="J1811" s="460"/>
    </row>
    <row r="1812" spans="1:10" ht="93.75">
      <c r="A1812" s="1068" t="s">
        <v>49</v>
      </c>
      <c r="B1812" s="310" t="s">
        <v>1821</v>
      </c>
      <c r="C1812" s="452">
        <v>75000</v>
      </c>
      <c r="D1812" s="452"/>
      <c r="E1812" s="452">
        <v>75000</v>
      </c>
      <c r="F1812" s="153"/>
      <c r="G1812" s="153"/>
      <c r="H1812" s="459">
        <f t="shared" si="56"/>
        <v>0</v>
      </c>
      <c r="I1812" s="459">
        <f t="shared" si="57"/>
        <v>150000</v>
      </c>
      <c r="J1812" s="460"/>
    </row>
    <row r="1813" spans="1:10" ht="37.5">
      <c r="A1813" s="1068"/>
      <c r="B1813" s="310" t="s">
        <v>1053</v>
      </c>
      <c r="C1813" s="452">
        <v>540000</v>
      </c>
      <c r="D1813" s="452"/>
      <c r="E1813" s="452">
        <v>540000</v>
      </c>
      <c r="F1813" s="153"/>
      <c r="G1813" s="153"/>
      <c r="H1813" s="459">
        <f t="shared" si="56"/>
        <v>0</v>
      </c>
      <c r="I1813" s="459">
        <f t="shared" si="57"/>
        <v>1080000</v>
      </c>
      <c r="J1813" s="460"/>
    </row>
    <row r="1814" spans="1:10" ht="131.25">
      <c r="A1814" s="1068"/>
      <c r="B1814" s="310" t="s">
        <v>1681</v>
      </c>
      <c r="C1814" s="452">
        <v>5333</v>
      </c>
      <c r="D1814" s="452"/>
      <c r="E1814" s="452">
        <v>5333</v>
      </c>
      <c r="F1814" s="153"/>
      <c r="G1814" s="153"/>
      <c r="H1814" s="459"/>
      <c r="I1814" s="459">
        <f t="shared" si="57"/>
        <v>10666</v>
      </c>
      <c r="J1814" s="460"/>
    </row>
    <row r="1815" spans="1:10">
      <c r="A1815" s="1068"/>
      <c r="B1815" s="461" t="s">
        <v>253</v>
      </c>
      <c r="C1815" s="462">
        <f>SUM(C1812:C1814)</f>
        <v>620333</v>
      </c>
      <c r="D1815" s="462">
        <f>SUM(D1812:D1814)</f>
        <v>0</v>
      </c>
      <c r="E1815" s="462">
        <f>SUM(E1812:E1814)</f>
        <v>620333</v>
      </c>
      <c r="F1815" s="153"/>
      <c r="G1815" s="153"/>
      <c r="H1815" s="459">
        <f t="shared" si="56"/>
        <v>0</v>
      </c>
      <c r="I1815" s="459">
        <f t="shared" si="57"/>
        <v>1240666</v>
      </c>
      <c r="J1815" s="460"/>
    </row>
    <row r="1816" spans="1:10" ht="93.75">
      <c r="A1816" s="1068" t="s">
        <v>1061</v>
      </c>
      <c r="B1816" s="310" t="s">
        <v>1819</v>
      </c>
      <c r="C1816" s="452">
        <f>40000+20300</f>
        <v>60300</v>
      </c>
      <c r="D1816" s="452"/>
      <c r="E1816" s="452">
        <f>40000+20300</f>
        <v>60300</v>
      </c>
      <c r="F1816" s="153"/>
      <c r="G1816" s="153"/>
      <c r="H1816" s="459">
        <f t="shared" si="56"/>
        <v>0</v>
      </c>
      <c r="I1816" s="459">
        <f t="shared" si="57"/>
        <v>120600</v>
      </c>
      <c r="J1816" s="460"/>
    </row>
    <row r="1817" spans="1:10" s="5" customFormat="1" ht="75" hidden="1">
      <c r="A1817" s="1069"/>
      <c r="B1817" s="244" t="s">
        <v>1062</v>
      </c>
      <c r="C1817" s="433">
        <f>1070000-1070000</f>
        <v>0</v>
      </c>
      <c r="D1817" s="433"/>
      <c r="E1817" s="429">
        <f>1070000-1070000</f>
        <v>0</v>
      </c>
      <c r="F1817" s="153"/>
      <c r="G1817" s="153"/>
      <c r="H1817" s="136">
        <f t="shared" si="56"/>
        <v>0</v>
      </c>
      <c r="I1817" s="136">
        <f t="shared" si="57"/>
        <v>0</v>
      </c>
      <c r="J1817" s="73"/>
    </row>
    <row r="1818" spans="1:10" ht="93.75">
      <c r="A1818" s="1068"/>
      <c r="B1818" s="310" t="s">
        <v>1819</v>
      </c>
      <c r="C1818" s="452">
        <v>50000</v>
      </c>
      <c r="D1818" s="452"/>
      <c r="E1818" s="452">
        <v>50000</v>
      </c>
      <c r="F1818" s="371"/>
      <c r="G1818" s="371"/>
      <c r="H1818" s="459">
        <f t="shared" si="56"/>
        <v>0</v>
      </c>
      <c r="I1818" s="459">
        <f t="shared" si="57"/>
        <v>100000</v>
      </c>
      <c r="J1818" s="460" t="s">
        <v>1861</v>
      </c>
    </row>
    <row r="1819" spans="1:10" ht="131.25">
      <c r="A1819" s="1068"/>
      <c r="B1819" s="310" t="s">
        <v>1681</v>
      </c>
      <c r="C1819" s="452">
        <v>104180</v>
      </c>
      <c r="D1819" s="452"/>
      <c r="E1819" s="452">
        <v>104180</v>
      </c>
      <c r="F1819" s="371"/>
      <c r="G1819" s="371"/>
      <c r="H1819" s="459">
        <f t="shared" si="56"/>
        <v>0</v>
      </c>
      <c r="I1819" s="459">
        <f t="shared" si="57"/>
        <v>208360</v>
      </c>
      <c r="J1819" s="460" t="s">
        <v>1863</v>
      </c>
    </row>
    <row r="1820" spans="1:10" s="5" customFormat="1" hidden="1">
      <c r="A1820" s="1069"/>
      <c r="B1820" s="244"/>
      <c r="C1820" s="433"/>
      <c r="D1820" s="433"/>
      <c r="E1820" s="429"/>
      <c r="F1820" s="153"/>
      <c r="G1820" s="153"/>
      <c r="H1820" s="136">
        <f t="shared" si="56"/>
        <v>0</v>
      </c>
      <c r="I1820" s="136">
        <f t="shared" si="57"/>
        <v>0</v>
      </c>
      <c r="J1820" s="73"/>
    </row>
    <row r="1821" spans="1:10">
      <c r="A1821" s="1068"/>
      <c r="B1821" s="461" t="s">
        <v>253</v>
      </c>
      <c r="C1821" s="462">
        <f>SUM(C1816:C1820)</f>
        <v>214480</v>
      </c>
      <c r="D1821" s="462">
        <f>SUM(D1816:D1820)</f>
        <v>0</v>
      </c>
      <c r="E1821" s="462">
        <f>SUM(E1816:E1820)</f>
        <v>214480</v>
      </c>
      <c r="F1821" s="248">
        <f>SUM(F1816:F1817)</f>
        <v>0</v>
      </c>
      <c r="G1821" s="248">
        <f>SUM(G1816:G1817)</f>
        <v>0</v>
      </c>
      <c r="H1821" s="459">
        <f t="shared" si="56"/>
        <v>0</v>
      </c>
      <c r="I1821" s="459">
        <f t="shared" si="57"/>
        <v>428960</v>
      </c>
      <c r="J1821" s="460"/>
    </row>
    <row r="1822" spans="1:10" ht="93.75">
      <c r="A1822" s="1068" t="s">
        <v>350</v>
      </c>
      <c r="B1822" s="310" t="s">
        <v>1821</v>
      </c>
      <c r="C1822" s="452">
        <v>40000</v>
      </c>
      <c r="D1822" s="452"/>
      <c r="E1822" s="452">
        <v>40000</v>
      </c>
      <c r="F1822" s="153"/>
      <c r="G1822" s="153"/>
      <c r="H1822" s="459">
        <f t="shared" si="56"/>
        <v>0</v>
      </c>
      <c r="I1822" s="459">
        <f t="shared" si="57"/>
        <v>80000</v>
      </c>
      <c r="J1822" s="460"/>
    </row>
    <row r="1823" spans="1:10" ht="131.25">
      <c r="A1823" s="1068"/>
      <c r="B1823" s="310" t="s">
        <v>1681</v>
      </c>
      <c r="C1823" s="469">
        <v>3810</v>
      </c>
      <c r="D1823" s="469"/>
      <c r="E1823" s="469">
        <v>3810</v>
      </c>
      <c r="F1823" s="364"/>
      <c r="G1823" s="364"/>
      <c r="H1823" s="459">
        <f t="shared" si="56"/>
        <v>0</v>
      </c>
      <c r="I1823" s="459">
        <f t="shared" si="57"/>
        <v>7620</v>
      </c>
      <c r="J1823" s="460"/>
    </row>
    <row r="1824" spans="1:10">
      <c r="A1824" s="1068"/>
      <c r="B1824" s="461" t="s">
        <v>253</v>
      </c>
      <c r="C1824" s="462">
        <f>SUM(C1822:C1823)</f>
        <v>43810</v>
      </c>
      <c r="D1824" s="462">
        <f>SUM(D1822:D1823)</f>
        <v>0</v>
      </c>
      <c r="E1824" s="462">
        <f>SUM(E1822:E1823)</f>
        <v>43810</v>
      </c>
      <c r="F1824" s="153"/>
      <c r="G1824" s="153"/>
      <c r="H1824" s="459">
        <f t="shared" si="56"/>
        <v>0</v>
      </c>
      <c r="I1824" s="459">
        <f t="shared" si="57"/>
        <v>87620</v>
      </c>
      <c r="J1824" s="460"/>
    </row>
    <row r="1825" spans="1:10" ht="93.75">
      <c r="A1825" s="1068" t="s">
        <v>815</v>
      </c>
      <c r="B1825" s="310" t="s">
        <v>1821</v>
      </c>
      <c r="C1825" s="453">
        <v>24200</v>
      </c>
      <c r="D1825" s="453"/>
      <c r="E1825" s="453">
        <v>24200</v>
      </c>
      <c r="F1825" s="55"/>
      <c r="G1825" s="55"/>
      <c r="H1825" s="459">
        <f t="shared" si="56"/>
        <v>0</v>
      </c>
      <c r="I1825" s="459">
        <f t="shared" si="57"/>
        <v>48400</v>
      </c>
      <c r="J1825" s="460"/>
    </row>
    <row r="1826" spans="1:10" ht="56.25">
      <c r="A1826" s="1068"/>
      <c r="B1826" s="310" t="s">
        <v>3103</v>
      </c>
      <c r="C1826" s="476">
        <v>540000</v>
      </c>
      <c r="D1826" s="476"/>
      <c r="E1826" s="469">
        <v>540000</v>
      </c>
      <c r="F1826" s="364"/>
      <c r="G1826" s="364"/>
      <c r="H1826" s="459">
        <f t="shared" si="56"/>
        <v>0</v>
      </c>
      <c r="I1826" s="459">
        <f t="shared" si="57"/>
        <v>1080000</v>
      </c>
      <c r="J1826" s="460"/>
    </row>
    <row r="1827" spans="1:10">
      <c r="A1827" s="1068"/>
      <c r="B1827" s="461" t="s">
        <v>253</v>
      </c>
      <c r="C1827" s="462">
        <f>SUM(C1825:C1826)</f>
        <v>564200</v>
      </c>
      <c r="D1827" s="462">
        <f>SUM(D1825:D1826)</f>
        <v>0</v>
      </c>
      <c r="E1827" s="462">
        <f>SUM(E1825:E1826)</f>
        <v>564200</v>
      </c>
      <c r="F1827" s="153"/>
      <c r="G1827" s="153"/>
      <c r="H1827" s="459">
        <f t="shared" si="56"/>
        <v>0</v>
      </c>
      <c r="I1827" s="459">
        <f t="shared" si="57"/>
        <v>1128400</v>
      </c>
      <c r="J1827" s="460"/>
    </row>
    <row r="1828" spans="1:10" ht="93.75">
      <c r="A1828" s="1068" t="s">
        <v>130</v>
      </c>
      <c r="B1828" s="310" t="s">
        <v>1819</v>
      </c>
      <c r="C1828" s="453">
        <v>15700</v>
      </c>
      <c r="D1828" s="453"/>
      <c r="E1828" s="453">
        <v>15700</v>
      </c>
      <c r="F1828" s="55"/>
      <c r="G1828" s="55"/>
      <c r="H1828" s="459">
        <f t="shared" si="56"/>
        <v>0</v>
      </c>
      <c r="I1828" s="459">
        <f t="shared" si="57"/>
        <v>31400</v>
      </c>
      <c r="J1828" s="460"/>
    </row>
    <row r="1829" spans="1:10" ht="131.25">
      <c r="A1829" s="1068"/>
      <c r="B1829" s="310" t="s">
        <v>1681</v>
      </c>
      <c r="C1829" s="476">
        <v>26290</v>
      </c>
      <c r="D1829" s="476"/>
      <c r="E1829" s="469">
        <v>26290</v>
      </c>
      <c r="F1829" s="153"/>
      <c r="G1829" s="153"/>
      <c r="H1829" s="459">
        <f t="shared" si="56"/>
        <v>0</v>
      </c>
      <c r="I1829" s="459">
        <f t="shared" si="57"/>
        <v>52580</v>
      </c>
      <c r="J1829" s="460"/>
    </row>
    <row r="1830" spans="1:10">
      <c r="A1830" s="1068"/>
      <c r="B1830" s="461" t="s">
        <v>253</v>
      </c>
      <c r="C1830" s="462">
        <f>SUM(C1828:C1829)</f>
        <v>41990</v>
      </c>
      <c r="D1830" s="462">
        <f>SUM(D1828:D1829)</f>
        <v>0</v>
      </c>
      <c r="E1830" s="462">
        <f>SUM(E1828:E1829)</f>
        <v>41990</v>
      </c>
      <c r="F1830" s="153"/>
      <c r="G1830" s="153"/>
      <c r="H1830" s="459">
        <f t="shared" si="56"/>
        <v>0</v>
      </c>
      <c r="I1830" s="459">
        <f t="shared" si="57"/>
        <v>83980</v>
      </c>
      <c r="J1830" s="460"/>
    </row>
    <row r="1831" spans="1:10" ht="93.75">
      <c r="A1831" s="1068" t="s">
        <v>50</v>
      </c>
      <c r="B1831" s="310" t="s">
        <v>1819</v>
      </c>
      <c r="C1831" s="469">
        <v>31300</v>
      </c>
      <c r="D1831" s="469"/>
      <c r="E1831" s="469">
        <v>31300</v>
      </c>
      <c r="F1831" s="153"/>
      <c r="G1831" s="153"/>
      <c r="H1831" s="459">
        <f t="shared" si="56"/>
        <v>0</v>
      </c>
      <c r="I1831" s="459">
        <f t="shared" si="57"/>
        <v>62600</v>
      </c>
      <c r="J1831" s="460"/>
    </row>
    <row r="1832" spans="1:10" s="5" customFormat="1" ht="56.25" hidden="1">
      <c r="A1832" s="1069"/>
      <c r="B1832" s="244" t="s">
        <v>1067</v>
      </c>
      <c r="C1832" s="415">
        <f>800000-800000</f>
        <v>0</v>
      </c>
      <c r="D1832" s="415"/>
      <c r="E1832" s="416">
        <f>800000-800000</f>
        <v>0</v>
      </c>
      <c r="F1832" s="153"/>
      <c r="G1832" s="153"/>
      <c r="H1832" s="136">
        <f t="shared" si="56"/>
        <v>0</v>
      </c>
      <c r="I1832" s="136">
        <f t="shared" si="57"/>
        <v>0</v>
      </c>
      <c r="J1832" s="73"/>
    </row>
    <row r="1833" spans="1:10" ht="131.25">
      <c r="A1833" s="1068"/>
      <c r="B1833" s="310" t="s">
        <v>1681</v>
      </c>
      <c r="C1833" s="476">
        <v>32870</v>
      </c>
      <c r="D1833" s="476"/>
      <c r="E1833" s="469">
        <v>32870</v>
      </c>
      <c r="F1833" s="153"/>
      <c r="G1833" s="153"/>
      <c r="H1833" s="459">
        <f t="shared" si="56"/>
        <v>0</v>
      </c>
      <c r="I1833" s="459">
        <f t="shared" si="57"/>
        <v>65740</v>
      </c>
      <c r="J1833" s="460"/>
    </row>
    <row r="1834" spans="1:10" ht="37.5">
      <c r="A1834" s="1068"/>
      <c r="B1834" s="310" t="s">
        <v>1053</v>
      </c>
      <c r="C1834" s="455">
        <v>540000</v>
      </c>
      <c r="D1834" s="455"/>
      <c r="E1834" s="455">
        <v>540000</v>
      </c>
      <c r="F1834" s="153"/>
      <c r="G1834" s="153"/>
      <c r="H1834" s="459">
        <f t="shared" si="56"/>
        <v>0</v>
      </c>
      <c r="I1834" s="459">
        <f t="shared" si="57"/>
        <v>1080000</v>
      </c>
      <c r="J1834" s="460"/>
    </row>
    <row r="1835" spans="1:10">
      <c r="A1835" s="1068"/>
      <c r="B1835" s="461" t="s">
        <v>253</v>
      </c>
      <c r="C1835" s="462">
        <f>SUM(C1831:C1834)</f>
        <v>604170</v>
      </c>
      <c r="D1835" s="462">
        <f>SUM(D1831:D1834)</f>
        <v>0</v>
      </c>
      <c r="E1835" s="462">
        <f>SUM(E1831:E1834)</f>
        <v>604170</v>
      </c>
      <c r="F1835" s="343">
        <f>SUM(F1831:F1834)</f>
        <v>0</v>
      </c>
      <c r="G1835" s="343">
        <f>SUM(G1831:G1834)</f>
        <v>0</v>
      </c>
      <c r="H1835" s="459">
        <f t="shared" si="56"/>
        <v>0</v>
      </c>
      <c r="I1835" s="459">
        <f t="shared" si="57"/>
        <v>1208340</v>
      </c>
      <c r="J1835" s="460"/>
    </row>
    <row r="1836" spans="1:10" ht="93.75">
      <c r="A1836" s="1068" t="s">
        <v>131</v>
      </c>
      <c r="B1836" s="310" t="s">
        <v>1819</v>
      </c>
      <c r="C1836" s="469">
        <v>22300</v>
      </c>
      <c r="D1836" s="469"/>
      <c r="E1836" s="469">
        <v>22300</v>
      </c>
      <c r="F1836" s="153"/>
      <c r="G1836" s="153"/>
      <c r="H1836" s="459">
        <f t="shared" si="56"/>
        <v>0</v>
      </c>
      <c r="I1836" s="459">
        <f t="shared" si="57"/>
        <v>44600</v>
      </c>
      <c r="J1836" s="460"/>
    </row>
    <row r="1837" spans="1:10" ht="131.25">
      <c r="A1837" s="1068"/>
      <c r="B1837" s="310" t="s">
        <v>1681</v>
      </c>
      <c r="C1837" s="455">
        <v>19720</v>
      </c>
      <c r="D1837" s="455"/>
      <c r="E1837" s="455">
        <v>19720</v>
      </c>
      <c r="F1837" s="364"/>
      <c r="G1837" s="364"/>
      <c r="H1837" s="459">
        <f t="shared" si="56"/>
        <v>0</v>
      </c>
      <c r="I1837" s="459">
        <f t="shared" si="57"/>
        <v>39440</v>
      </c>
      <c r="J1837" s="460"/>
    </row>
    <row r="1838" spans="1:10">
      <c r="A1838" s="1068"/>
      <c r="B1838" s="461" t="s">
        <v>253</v>
      </c>
      <c r="C1838" s="462">
        <f>SUM(C1836:C1837)</f>
        <v>42020</v>
      </c>
      <c r="D1838" s="462">
        <f>SUM(D1836:D1837)</f>
        <v>0</v>
      </c>
      <c r="E1838" s="462">
        <f>SUM(E1836:E1837)</f>
        <v>42020</v>
      </c>
      <c r="F1838" s="153"/>
      <c r="G1838" s="153"/>
      <c r="H1838" s="459">
        <f t="shared" si="56"/>
        <v>0</v>
      </c>
      <c r="I1838" s="459">
        <f t="shared" si="57"/>
        <v>84040</v>
      </c>
      <c r="J1838" s="460"/>
    </row>
    <row r="1839" spans="1:10" ht="95.45" customHeight="1">
      <c r="A1839" s="1068" t="s">
        <v>134</v>
      </c>
      <c r="B1839" s="310" t="s">
        <v>1821</v>
      </c>
      <c r="C1839" s="469">
        <v>68600</v>
      </c>
      <c r="D1839" s="469"/>
      <c r="E1839" s="469">
        <v>68600</v>
      </c>
      <c r="F1839" s="153"/>
      <c r="G1839" s="153"/>
      <c r="H1839" s="459">
        <f t="shared" si="56"/>
        <v>0</v>
      </c>
      <c r="I1839" s="459">
        <f t="shared" si="57"/>
        <v>137200</v>
      </c>
      <c r="J1839" s="460"/>
    </row>
    <row r="1840" spans="1:10" ht="131.25">
      <c r="A1840" s="1068"/>
      <c r="B1840" s="310" t="s">
        <v>1681</v>
      </c>
      <c r="C1840" s="453">
        <v>32870</v>
      </c>
      <c r="D1840" s="453"/>
      <c r="E1840" s="453">
        <v>32870</v>
      </c>
      <c r="F1840" s="153"/>
      <c r="G1840" s="153"/>
      <c r="H1840" s="459">
        <f t="shared" si="56"/>
        <v>0</v>
      </c>
      <c r="I1840" s="459">
        <f t="shared" si="57"/>
        <v>65740</v>
      </c>
      <c r="J1840" s="460"/>
    </row>
    <row r="1841" spans="1:10" s="5" customFormat="1" hidden="1">
      <c r="A1841" s="1069"/>
      <c r="B1841" s="244"/>
      <c r="C1841" s="383"/>
      <c r="D1841" s="383"/>
      <c r="E1841" s="383"/>
      <c r="F1841" s="153"/>
      <c r="G1841" s="153"/>
      <c r="H1841" s="136">
        <f t="shared" si="56"/>
        <v>0</v>
      </c>
      <c r="I1841" s="136">
        <f t="shared" si="57"/>
        <v>0</v>
      </c>
      <c r="J1841" s="73"/>
    </row>
    <row r="1842" spans="1:10">
      <c r="A1842" s="1068"/>
      <c r="B1842" s="461" t="s">
        <v>253</v>
      </c>
      <c r="C1842" s="462">
        <f>SUM(C1839:C1841)</f>
        <v>101470</v>
      </c>
      <c r="D1842" s="462">
        <f>SUM(D1839:D1841)</f>
        <v>0</v>
      </c>
      <c r="E1842" s="462">
        <f>SUM(E1839:E1841)</f>
        <v>101470</v>
      </c>
      <c r="F1842" s="153"/>
      <c r="G1842" s="153"/>
      <c r="H1842" s="459">
        <f t="shared" si="56"/>
        <v>0</v>
      </c>
      <c r="I1842" s="459">
        <f t="shared" si="57"/>
        <v>202940</v>
      </c>
      <c r="J1842" s="460"/>
    </row>
    <row r="1843" spans="1:10" s="460" customFormat="1" ht="93.75">
      <c r="A1843" s="1068" t="s">
        <v>1054</v>
      </c>
      <c r="B1843" s="310" t="s">
        <v>1819</v>
      </c>
      <c r="C1843" s="469">
        <v>24700</v>
      </c>
      <c r="D1843" s="469"/>
      <c r="E1843" s="469">
        <v>24700</v>
      </c>
      <c r="F1843" s="155"/>
      <c r="G1843" s="155"/>
      <c r="H1843" s="459">
        <f t="shared" si="56"/>
        <v>0</v>
      </c>
      <c r="I1843" s="459">
        <f t="shared" si="57"/>
        <v>49400</v>
      </c>
    </row>
    <row r="1844" spans="1:10" s="460" customFormat="1" ht="37.5">
      <c r="A1844" s="1068"/>
      <c r="B1844" s="310" t="s">
        <v>1053</v>
      </c>
      <c r="C1844" s="469">
        <v>540000</v>
      </c>
      <c r="D1844" s="469"/>
      <c r="E1844" s="469">
        <v>540000</v>
      </c>
      <c r="F1844" s="155"/>
      <c r="G1844" s="155"/>
      <c r="H1844" s="459">
        <f t="shared" si="56"/>
        <v>0</v>
      </c>
      <c r="I1844" s="459">
        <f t="shared" si="57"/>
        <v>1080000</v>
      </c>
    </row>
    <row r="1845" spans="1:10" s="460" customFormat="1" ht="131.25">
      <c r="A1845" s="1068"/>
      <c r="B1845" s="310" t="s">
        <v>1681</v>
      </c>
      <c r="C1845" s="469">
        <v>39440</v>
      </c>
      <c r="D1845" s="469"/>
      <c r="E1845" s="469">
        <v>39440</v>
      </c>
      <c r="F1845" s="155"/>
      <c r="G1845" s="155"/>
      <c r="H1845" s="459">
        <f t="shared" si="56"/>
        <v>0</v>
      </c>
      <c r="I1845" s="459">
        <f t="shared" si="57"/>
        <v>78880</v>
      </c>
    </row>
    <row r="1846" spans="1:10">
      <c r="A1846" s="1068"/>
      <c r="B1846" s="461" t="s">
        <v>253</v>
      </c>
      <c r="C1846" s="462">
        <f>SUM(C1843:C1845)</f>
        <v>604140</v>
      </c>
      <c r="D1846" s="462">
        <f>SUM(D1843:D1845)</f>
        <v>0</v>
      </c>
      <c r="E1846" s="462">
        <f>SUM(E1843:E1845)</f>
        <v>604140</v>
      </c>
      <c r="F1846" s="75">
        <f>SUM(F1843:F1843)</f>
        <v>0</v>
      </c>
      <c r="G1846" s="75">
        <f>SUM(G1843:G1843)</f>
        <v>0</v>
      </c>
      <c r="H1846" s="459">
        <f t="shared" si="56"/>
        <v>0</v>
      </c>
      <c r="I1846" s="459">
        <f t="shared" si="57"/>
        <v>1208280</v>
      </c>
      <c r="J1846" s="460"/>
    </row>
    <row r="1847" spans="1:10" s="73" customFormat="1" ht="131.25" hidden="1">
      <c r="A1847" s="1069" t="s">
        <v>411</v>
      </c>
      <c r="B1847" s="244" t="s">
        <v>1662</v>
      </c>
      <c r="C1847" s="383">
        <f>500000-500000</f>
        <v>0</v>
      </c>
      <c r="D1847" s="383"/>
      <c r="E1847" s="383">
        <f>500000-500000</f>
        <v>0</v>
      </c>
      <c r="F1847" s="155"/>
      <c r="G1847" s="155"/>
      <c r="H1847" s="136">
        <f t="shared" si="56"/>
        <v>0</v>
      </c>
      <c r="I1847" s="136">
        <f t="shared" si="57"/>
        <v>0</v>
      </c>
    </row>
    <row r="1848" spans="1:10" s="73" customFormat="1" ht="281.25" hidden="1">
      <c r="A1848" s="1069"/>
      <c r="B1848" s="244" t="s">
        <v>1676</v>
      </c>
      <c r="C1848" s="383">
        <f>2400000-2400000</f>
        <v>0</v>
      </c>
      <c r="D1848" s="383"/>
      <c r="E1848" s="383">
        <f>2400000-2400000</f>
        <v>0</v>
      </c>
      <c r="F1848" s="155"/>
      <c r="G1848" s="155"/>
      <c r="H1848" s="136">
        <f t="shared" si="56"/>
        <v>0</v>
      </c>
      <c r="I1848" s="136">
        <f t="shared" si="57"/>
        <v>0</v>
      </c>
    </row>
    <row r="1849" spans="1:10" s="460" customFormat="1" ht="93.75">
      <c r="A1849" s="1068"/>
      <c r="B1849" s="310" t="s">
        <v>1819</v>
      </c>
      <c r="C1849" s="469">
        <v>33400</v>
      </c>
      <c r="D1849" s="469"/>
      <c r="E1849" s="469">
        <v>33400</v>
      </c>
      <c r="F1849" s="155"/>
      <c r="G1849" s="155"/>
      <c r="H1849" s="459">
        <f t="shared" si="56"/>
        <v>0</v>
      </c>
      <c r="I1849" s="459">
        <f t="shared" si="57"/>
        <v>66800</v>
      </c>
    </row>
    <row r="1850" spans="1:10" s="460" customFormat="1" ht="75">
      <c r="A1850" s="1068"/>
      <c r="B1850" s="310" t="s">
        <v>1692</v>
      </c>
      <c r="C1850" s="469">
        <v>540000</v>
      </c>
      <c r="D1850" s="469"/>
      <c r="E1850" s="469">
        <v>540000</v>
      </c>
      <c r="F1850" s="155"/>
      <c r="G1850" s="155"/>
      <c r="H1850" s="459">
        <f t="shared" si="56"/>
        <v>0</v>
      </c>
      <c r="I1850" s="459">
        <f t="shared" si="57"/>
        <v>1080000</v>
      </c>
    </row>
    <row r="1851" spans="1:10" s="460" customFormat="1" ht="131.25">
      <c r="A1851" s="1068"/>
      <c r="B1851" s="310" t="s">
        <v>1681</v>
      </c>
      <c r="C1851" s="469">
        <v>32870</v>
      </c>
      <c r="D1851" s="469"/>
      <c r="E1851" s="469">
        <v>32870</v>
      </c>
      <c r="F1851" s="155"/>
      <c r="G1851" s="155"/>
      <c r="H1851" s="459">
        <f t="shared" si="56"/>
        <v>0</v>
      </c>
      <c r="I1851" s="459">
        <f t="shared" si="57"/>
        <v>65740</v>
      </c>
    </row>
    <row r="1852" spans="1:10" s="73" customFormat="1" hidden="1">
      <c r="A1852" s="1069"/>
      <c r="B1852" s="244"/>
      <c r="C1852" s="383"/>
      <c r="D1852" s="383"/>
      <c r="E1852" s="383"/>
      <c r="F1852" s="155"/>
      <c r="G1852" s="155"/>
      <c r="H1852" s="136">
        <f t="shared" si="56"/>
        <v>0</v>
      </c>
      <c r="I1852" s="136">
        <f t="shared" si="57"/>
        <v>0</v>
      </c>
    </row>
    <row r="1853" spans="1:10">
      <c r="A1853" s="1068"/>
      <c r="B1853" s="461" t="s">
        <v>253</v>
      </c>
      <c r="C1853" s="462">
        <f>SUM(C1847:C1852)</f>
        <v>606270</v>
      </c>
      <c r="D1853" s="462">
        <f>SUM(D1847:D1852)</f>
        <v>0</v>
      </c>
      <c r="E1853" s="462">
        <f>SUM(E1847:E1852)</f>
        <v>606270</v>
      </c>
      <c r="F1853" s="75">
        <f>SUM(F1847:F1847)</f>
        <v>0</v>
      </c>
      <c r="G1853" s="75">
        <f>SUM(G1847:G1847)</f>
        <v>0</v>
      </c>
      <c r="H1853" s="459">
        <f t="shared" si="56"/>
        <v>0</v>
      </c>
      <c r="I1853" s="459">
        <f t="shared" si="57"/>
        <v>1212540</v>
      </c>
      <c r="J1853" s="460"/>
    </row>
    <row r="1854" spans="1:10" s="440" customFormat="1" ht="93.75">
      <c r="A1854" s="1078" t="s">
        <v>53</v>
      </c>
      <c r="B1854" s="310" t="s">
        <v>1819</v>
      </c>
      <c r="C1854" s="452">
        <v>25000</v>
      </c>
      <c r="D1854" s="452"/>
      <c r="E1854" s="452">
        <v>25000</v>
      </c>
      <c r="F1854" s="155"/>
      <c r="G1854" s="155"/>
      <c r="H1854" s="459">
        <f t="shared" si="56"/>
        <v>0</v>
      </c>
      <c r="I1854" s="459">
        <f t="shared" si="57"/>
        <v>50000</v>
      </c>
      <c r="J1854" s="460"/>
    </row>
    <row r="1855" spans="1:10" s="440" customFormat="1" ht="37.5">
      <c r="A1855" s="1079"/>
      <c r="B1855" s="477" t="s">
        <v>1053</v>
      </c>
      <c r="C1855" s="453">
        <v>540000</v>
      </c>
      <c r="D1855" s="453"/>
      <c r="E1855" s="453">
        <v>540000</v>
      </c>
      <c r="F1855" s="155"/>
      <c r="G1855" s="155"/>
      <c r="H1855" s="459">
        <f t="shared" si="56"/>
        <v>0</v>
      </c>
      <c r="I1855" s="459">
        <f t="shared" si="57"/>
        <v>1080000</v>
      </c>
      <c r="J1855" s="460"/>
    </row>
    <row r="1856" spans="1:10" s="440" customFormat="1" ht="131.25">
      <c r="A1856" s="1079"/>
      <c r="B1856" s="310" t="s">
        <v>1681</v>
      </c>
      <c r="C1856" s="453">
        <v>19720</v>
      </c>
      <c r="D1856" s="453"/>
      <c r="E1856" s="453">
        <v>19720</v>
      </c>
      <c r="F1856" s="155"/>
      <c r="G1856" s="155"/>
      <c r="H1856" s="459">
        <f t="shared" si="56"/>
        <v>0</v>
      </c>
      <c r="I1856" s="459">
        <f t="shared" si="57"/>
        <v>39440</v>
      </c>
      <c r="J1856" s="460"/>
    </row>
    <row r="1857" spans="1:14" s="440" customFormat="1" ht="93.75">
      <c r="A1857" s="1079"/>
      <c r="B1857" s="310" t="s">
        <v>3119</v>
      </c>
      <c r="C1857" s="478">
        <v>88653</v>
      </c>
      <c r="D1857" s="478"/>
      <c r="E1857" s="478">
        <v>88653</v>
      </c>
      <c r="F1857" s="155"/>
      <c r="G1857" s="155"/>
      <c r="H1857" s="459">
        <f t="shared" si="56"/>
        <v>0</v>
      </c>
      <c r="I1857" s="459">
        <f t="shared" si="57"/>
        <v>177306</v>
      </c>
      <c r="J1857" s="460"/>
    </row>
    <row r="1858" spans="1:14" s="440" customFormat="1" ht="93.75">
      <c r="A1858" s="1079"/>
      <c r="B1858" s="310" t="s">
        <v>3120</v>
      </c>
      <c r="C1858" s="478">
        <v>124923</v>
      </c>
      <c r="D1858" s="478"/>
      <c r="E1858" s="478">
        <v>124923</v>
      </c>
      <c r="F1858" s="155"/>
      <c r="G1858" s="155"/>
      <c r="H1858" s="459">
        <f t="shared" si="56"/>
        <v>0</v>
      </c>
      <c r="I1858" s="459">
        <f t="shared" si="57"/>
        <v>249846</v>
      </c>
      <c r="J1858" s="460"/>
    </row>
    <row r="1859" spans="1:14" s="464" customFormat="1" ht="93.75">
      <c r="A1859" s="1079"/>
      <c r="B1859" s="310" t="s">
        <v>3127</v>
      </c>
      <c r="C1859" s="478">
        <v>179011</v>
      </c>
      <c r="D1859" s="478"/>
      <c r="E1859" s="478">
        <v>179011</v>
      </c>
      <c r="F1859" s="232"/>
      <c r="G1859" s="232"/>
      <c r="H1859" s="459">
        <f t="shared" si="56"/>
        <v>0</v>
      </c>
      <c r="I1859" s="459">
        <f t="shared" si="57"/>
        <v>358022</v>
      </c>
      <c r="J1859" s="460"/>
    </row>
    <row r="1860" spans="1:14" s="65" customFormat="1" hidden="1">
      <c r="A1860" s="1080"/>
      <c r="B1860" s="244"/>
      <c r="C1860" s="383"/>
      <c r="D1860" s="383"/>
      <c r="E1860" s="383"/>
      <c r="F1860" s="155"/>
      <c r="G1860" s="155"/>
      <c r="H1860" s="136">
        <f t="shared" si="56"/>
        <v>0</v>
      </c>
      <c r="I1860" s="136">
        <f t="shared" si="57"/>
        <v>0</v>
      </c>
      <c r="J1860" s="73"/>
    </row>
    <row r="1861" spans="1:14">
      <c r="A1861" s="1073"/>
      <c r="B1861" s="461" t="s">
        <v>253</v>
      </c>
      <c r="C1861" s="462">
        <f>SUM(C1854:C1860)</f>
        <v>977307</v>
      </c>
      <c r="D1861" s="462">
        <f>SUM(D1854:D1860)</f>
        <v>0</v>
      </c>
      <c r="E1861" s="462">
        <f>SUM(E1854:E1860)</f>
        <v>977307</v>
      </c>
      <c r="F1861" s="75">
        <f>SUM(F1855:F1855)</f>
        <v>0</v>
      </c>
      <c r="G1861" s="75">
        <f>SUM(G1855:G1855)</f>
        <v>0</v>
      </c>
      <c r="H1861" s="459">
        <f t="shared" si="56"/>
        <v>0</v>
      </c>
      <c r="I1861" s="459">
        <f t="shared" si="57"/>
        <v>1954614</v>
      </c>
      <c r="J1861" s="460"/>
    </row>
    <row r="1862" spans="1:14" s="460" customFormat="1" ht="93.75">
      <c r="A1862" s="1068" t="s">
        <v>136</v>
      </c>
      <c r="B1862" s="310" t="s">
        <v>1819</v>
      </c>
      <c r="C1862" s="469">
        <v>23600</v>
      </c>
      <c r="D1862" s="469"/>
      <c r="E1862" s="469">
        <v>23600</v>
      </c>
      <c r="F1862" s="155"/>
      <c r="G1862" s="155"/>
      <c r="H1862" s="459">
        <f t="shared" si="56"/>
        <v>0</v>
      </c>
      <c r="I1862" s="459">
        <f t="shared" si="57"/>
        <v>47200</v>
      </c>
    </row>
    <row r="1863" spans="1:14" s="460" customFormat="1" ht="131.25">
      <c r="A1863" s="1068"/>
      <c r="B1863" s="310" t="s">
        <v>1681</v>
      </c>
      <c r="C1863" s="452">
        <v>32870</v>
      </c>
      <c r="D1863" s="452"/>
      <c r="E1863" s="452">
        <v>32870</v>
      </c>
      <c r="F1863" s="155"/>
      <c r="G1863" s="155"/>
      <c r="H1863" s="459">
        <f t="shared" si="56"/>
        <v>0</v>
      </c>
      <c r="I1863" s="459">
        <f t="shared" si="57"/>
        <v>65740</v>
      </c>
    </row>
    <row r="1864" spans="1:14">
      <c r="A1864" s="1068"/>
      <c r="B1864" s="461" t="s">
        <v>253</v>
      </c>
      <c r="C1864" s="462">
        <f>SUM(C1862:C1863)</f>
        <v>56470</v>
      </c>
      <c r="D1864" s="462">
        <f>SUM(D1862:D1863)</f>
        <v>0</v>
      </c>
      <c r="E1864" s="462">
        <f>SUM(E1862:E1863)</f>
        <v>56470</v>
      </c>
      <c r="F1864" s="75">
        <f>SUM(F1862:F1862)</f>
        <v>0</v>
      </c>
      <c r="G1864" s="75">
        <f>SUM(G1862:G1862)</f>
        <v>0</v>
      </c>
      <c r="H1864" s="459">
        <f t="shared" si="56"/>
        <v>0</v>
      </c>
      <c r="I1864" s="459">
        <f t="shared" si="57"/>
        <v>112940</v>
      </c>
      <c r="J1864" s="460"/>
    </row>
    <row r="1865" spans="1:14" s="480" customFormat="1" ht="93.75">
      <c r="A1865" s="1077" t="s">
        <v>51</v>
      </c>
      <c r="B1865" s="310" t="s">
        <v>1821</v>
      </c>
      <c r="C1865" s="452">
        <v>77200</v>
      </c>
      <c r="D1865" s="452"/>
      <c r="E1865" s="452">
        <v>77200</v>
      </c>
      <c r="F1865" s="155"/>
      <c r="G1865" s="155"/>
      <c r="H1865" s="459">
        <f t="shared" si="56"/>
        <v>0</v>
      </c>
      <c r="I1865" s="459">
        <f t="shared" ref="I1865:I1928" si="58">SUM(C1865:E1865)</f>
        <v>154400</v>
      </c>
      <c r="K1865" s="481"/>
      <c r="L1865" s="482"/>
      <c r="M1865" s="482"/>
      <c r="N1865" s="482"/>
    </row>
    <row r="1866" spans="1:14" ht="131.25">
      <c r="A1866" s="1068"/>
      <c r="B1866" s="310" t="s">
        <v>1681</v>
      </c>
      <c r="C1866" s="453">
        <v>91800</v>
      </c>
      <c r="D1866" s="453"/>
      <c r="E1866" s="453">
        <v>91800</v>
      </c>
      <c r="F1866" s="136"/>
      <c r="G1866" s="136"/>
      <c r="H1866" s="459">
        <f t="shared" ref="H1866:H1929" si="59">E1866+D1866-C1866</f>
        <v>0</v>
      </c>
      <c r="I1866" s="459">
        <f t="shared" si="58"/>
        <v>183600</v>
      </c>
      <c r="J1866" s="460"/>
    </row>
    <row r="1867" spans="1:14" ht="77.45" customHeight="1">
      <c r="A1867" s="1068"/>
      <c r="B1867" s="477" t="s">
        <v>1053</v>
      </c>
      <c r="C1867" s="453">
        <v>540000</v>
      </c>
      <c r="D1867" s="453"/>
      <c r="E1867" s="453">
        <v>540000</v>
      </c>
      <c r="F1867" s="136"/>
      <c r="G1867" s="136"/>
      <c r="H1867" s="459">
        <f t="shared" si="59"/>
        <v>0</v>
      </c>
      <c r="I1867" s="459">
        <f t="shared" si="58"/>
        <v>1080000</v>
      </c>
      <c r="J1867" s="460"/>
      <c r="K1867" s="483"/>
      <c r="L1867" s="482"/>
      <c r="M1867" s="482"/>
      <c r="N1867" s="482"/>
    </row>
    <row r="1868" spans="1:14">
      <c r="A1868" s="1068"/>
      <c r="B1868" s="461" t="s">
        <v>253</v>
      </c>
      <c r="C1868" s="462">
        <f>SUM(C1865:C1867)</f>
        <v>709000</v>
      </c>
      <c r="D1868" s="462">
        <f>SUM(D1865:D1867)</f>
        <v>0</v>
      </c>
      <c r="E1868" s="462">
        <f>SUM(E1865:E1867)</f>
        <v>709000</v>
      </c>
      <c r="F1868" s="311">
        <f>SUM(F1865:F1867)</f>
        <v>0</v>
      </c>
      <c r="G1868" s="311">
        <f>SUM(G1865:G1867)</f>
        <v>0</v>
      </c>
      <c r="H1868" s="459">
        <f t="shared" si="59"/>
        <v>0</v>
      </c>
      <c r="I1868" s="459">
        <f t="shared" si="58"/>
        <v>1418000</v>
      </c>
      <c r="J1868" s="460"/>
    </row>
    <row r="1869" spans="1:14" s="460" customFormat="1" ht="93.75">
      <c r="A1869" s="1068" t="s">
        <v>461</v>
      </c>
      <c r="B1869" s="310" t="s">
        <v>1724</v>
      </c>
      <c r="C1869" s="453">
        <v>180000</v>
      </c>
      <c r="D1869" s="453">
        <v>180000</v>
      </c>
      <c r="E1869" s="453"/>
      <c r="F1869" s="155"/>
      <c r="G1869" s="155"/>
      <c r="H1869" s="459">
        <f t="shared" si="59"/>
        <v>0</v>
      </c>
      <c r="I1869" s="459">
        <f t="shared" si="58"/>
        <v>360000</v>
      </c>
    </row>
    <row r="1870" spans="1:14">
      <c r="A1870" s="1068"/>
      <c r="B1870" s="461" t="s">
        <v>253</v>
      </c>
      <c r="C1870" s="470">
        <f>SUM(C1869:C1869)</f>
        <v>180000</v>
      </c>
      <c r="D1870" s="470">
        <f>SUM(D1869:D1869)</f>
        <v>180000</v>
      </c>
      <c r="E1870" s="470">
        <f>SUM(E1869:E1869)</f>
        <v>0</v>
      </c>
      <c r="F1870" s="75">
        <f>SUM(F1869:F1869)</f>
        <v>0</v>
      </c>
      <c r="G1870" s="75">
        <f>SUM(G1869:G1869)</f>
        <v>0</v>
      </c>
      <c r="H1870" s="459">
        <f t="shared" si="59"/>
        <v>0</v>
      </c>
      <c r="I1870" s="459">
        <f t="shared" si="58"/>
        <v>360000</v>
      </c>
      <c r="J1870" s="460"/>
    </row>
    <row r="1871" spans="1:14" s="73" customFormat="1" ht="93.75" hidden="1">
      <c r="A1871" s="1069" t="s">
        <v>465</v>
      </c>
      <c r="B1871" s="244" t="s">
        <v>1724</v>
      </c>
      <c r="C1871" s="383"/>
      <c r="D1871" s="383"/>
      <c r="E1871" s="383"/>
      <c r="F1871" s="155"/>
      <c r="G1871" s="155"/>
      <c r="H1871" s="136">
        <f t="shared" si="59"/>
        <v>0</v>
      </c>
      <c r="I1871" s="136">
        <f t="shared" si="58"/>
        <v>0</v>
      </c>
    </row>
    <row r="1872" spans="1:14" s="5" customFormat="1" hidden="1">
      <c r="A1872" s="1069"/>
      <c r="B1872" s="247" t="s">
        <v>253</v>
      </c>
      <c r="C1872" s="344">
        <f>SUM(C1871:C1871)</f>
        <v>0</v>
      </c>
      <c r="D1872" s="344">
        <f>SUM(D1871:D1871)</f>
        <v>0</v>
      </c>
      <c r="E1872" s="344">
        <f>SUM(E1871:E1871)</f>
        <v>0</v>
      </c>
      <c r="F1872" s="75">
        <f>SUM(F1871:F1871)</f>
        <v>0</v>
      </c>
      <c r="G1872" s="75">
        <f>SUM(G1871:G1871)</f>
        <v>0</v>
      </c>
      <c r="H1872" s="136">
        <f t="shared" si="59"/>
        <v>0</v>
      </c>
      <c r="I1872" s="136">
        <f t="shared" si="58"/>
        <v>0</v>
      </c>
      <c r="J1872" s="73"/>
    </row>
    <row r="1873" spans="1:10" s="460" customFormat="1" ht="93.75">
      <c r="A1873" s="1068" t="s">
        <v>466</v>
      </c>
      <c r="B1873" s="310" t="s">
        <v>1724</v>
      </c>
      <c r="C1873" s="453">
        <v>54160</v>
      </c>
      <c r="D1873" s="453">
        <v>54160</v>
      </c>
      <c r="E1873" s="453"/>
      <c r="F1873" s="155"/>
      <c r="G1873" s="155"/>
      <c r="H1873" s="459">
        <f t="shared" si="59"/>
        <v>0</v>
      </c>
      <c r="I1873" s="459">
        <f t="shared" si="58"/>
        <v>108320</v>
      </c>
    </row>
    <row r="1874" spans="1:10">
      <c r="A1874" s="1068"/>
      <c r="B1874" s="461" t="s">
        <v>253</v>
      </c>
      <c r="C1874" s="470">
        <f>SUM(C1873:C1873)</f>
        <v>54160</v>
      </c>
      <c r="D1874" s="470">
        <f>SUM(D1873:D1873)</f>
        <v>54160</v>
      </c>
      <c r="E1874" s="470">
        <f>SUM(E1873:E1873)</f>
        <v>0</v>
      </c>
      <c r="F1874" s="75">
        <f>SUM(F1873:F1873)</f>
        <v>0</v>
      </c>
      <c r="G1874" s="75">
        <f>SUM(G1873:G1873)</f>
        <v>0</v>
      </c>
      <c r="H1874" s="459">
        <f t="shared" si="59"/>
        <v>0</v>
      </c>
      <c r="I1874" s="459">
        <f t="shared" si="58"/>
        <v>108320</v>
      </c>
      <c r="J1874" s="460"/>
    </row>
    <row r="1875" spans="1:10" s="460" customFormat="1" ht="93.75">
      <c r="A1875" s="1068" t="s">
        <v>467</v>
      </c>
      <c r="B1875" s="310" t="s">
        <v>1819</v>
      </c>
      <c r="C1875" s="453">
        <v>17200</v>
      </c>
      <c r="D1875" s="453"/>
      <c r="E1875" s="453">
        <v>17200</v>
      </c>
      <c r="F1875" s="155"/>
      <c r="G1875" s="155"/>
      <c r="H1875" s="459">
        <f t="shared" si="59"/>
        <v>0</v>
      </c>
      <c r="I1875" s="459">
        <f t="shared" si="58"/>
        <v>34400</v>
      </c>
    </row>
    <row r="1876" spans="1:10" s="460" customFormat="1" ht="131.25">
      <c r="A1876" s="1068"/>
      <c r="B1876" s="310" t="s">
        <v>1681</v>
      </c>
      <c r="C1876" s="453">
        <v>26290</v>
      </c>
      <c r="D1876" s="453"/>
      <c r="E1876" s="453">
        <v>26290</v>
      </c>
      <c r="F1876" s="155"/>
      <c r="G1876" s="155"/>
      <c r="H1876" s="459">
        <f t="shared" si="59"/>
        <v>0</v>
      </c>
      <c r="I1876" s="459">
        <f t="shared" si="58"/>
        <v>52580</v>
      </c>
    </row>
    <row r="1877" spans="1:10" s="460" customFormat="1" ht="75">
      <c r="A1877" s="1068"/>
      <c r="B1877" s="310" t="s">
        <v>1696</v>
      </c>
      <c r="C1877" s="453">
        <v>82000</v>
      </c>
      <c r="D1877" s="453">
        <v>82000</v>
      </c>
      <c r="E1877" s="453"/>
      <c r="F1877" s="155"/>
      <c r="G1877" s="155"/>
      <c r="H1877" s="459">
        <f t="shared" si="59"/>
        <v>0</v>
      </c>
      <c r="I1877" s="459">
        <f t="shared" si="58"/>
        <v>164000</v>
      </c>
    </row>
    <row r="1878" spans="1:10" s="73" customFormat="1" hidden="1">
      <c r="A1878" s="1069"/>
      <c r="B1878" s="244"/>
      <c r="C1878" s="383"/>
      <c r="D1878" s="383"/>
      <c r="E1878" s="383"/>
      <c r="F1878" s="155"/>
      <c r="G1878" s="155"/>
      <c r="H1878" s="136">
        <f t="shared" si="59"/>
        <v>0</v>
      </c>
      <c r="I1878" s="136">
        <f t="shared" si="58"/>
        <v>0</v>
      </c>
    </row>
    <row r="1879" spans="1:10">
      <c r="A1879" s="1068"/>
      <c r="B1879" s="461" t="s">
        <v>253</v>
      </c>
      <c r="C1879" s="470">
        <f>SUM(C1875:C1878)</f>
        <v>125490</v>
      </c>
      <c r="D1879" s="470">
        <f>SUM(D1875:D1878)</f>
        <v>82000</v>
      </c>
      <c r="E1879" s="470">
        <f>SUM(E1875:E1878)</f>
        <v>43490</v>
      </c>
      <c r="F1879" s="75">
        <f>SUM(F1875:F1875)</f>
        <v>0</v>
      </c>
      <c r="G1879" s="75">
        <f>SUM(G1875:G1875)</f>
        <v>0</v>
      </c>
      <c r="H1879" s="459">
        <f t="shared" si="59"/>
        <v>0</v>
      </c>
      <c r="I1879" s="459">
        <f t="shared" si="58"/>
        <v>250980</v>
      </c>
      <c r="J1879" s="460"/>
    </row>
    <row r="1880" spans="1:10" s="73" customFormat="1" hidden="1">
      <c r="A1880" s="1069" t="s">
        <v>468</v>
      </c>
      <c r="B1880" s="244"/>
      <c r="C1880" s="383"/>
      <c r="D1880" s="383"/>
      <c r="E1880" s="383"/>
      <c r="F1880" s="155"/>
      <c r="G1880" s="155"/>
      <c r="H1880" s="136">
        <f t="shared" si="59"/>
        <v>0</v>
      </c>
      <c r="I1880" s="136">
        <f t="shared" si="58"/>
        <v>0</v>
      </c>
    </row>
    <row r="1881" spans="1:10" s="5" customFormat="1" hidden="1">
      <c r="A1881" s="1069"/>
      <c r="B1881" s="247" t="s">
        <v>253</v>
      </c>
      <c r="C1881" s="344">
        <f>SUM(C1880:C1880)</f>
        <v>0</v>
      </c>
      <c r="D1881" s="344">
        <f>SUM(D1880:D1880)</f>
        <v>0</v>
      </c>
      <c r="E1881" s="344">
        <f>SUM(E1880:E1880)</f>
        <v>0</v>
      </c>
      <c r="F1881" s="75">
        <f>SUM(F1880:F1880)</f>
        <v>0</v>
      </c>
      <c r="G1881" s="75">
        <f>SUM(G1880:G1880)</f>
        <v>0</v>
      </c>
      <c r="H1881" s="136">
        <f t="shared" si="59"/>
        <v>0</v>
      </c>
      <c r="I1881" s="136">
        <f t="shared" si="58"/>
        <v>0</v>
      </c>
      <c r="J1881" s="73"/>
    </row>
    <row r="1882" spans="1:10" s="73" customFormat="1" ht="84" hidden="1" customHeight="1">
      <c r="A1882" s="1069" t="s">
        <v>469</v>
      </c>
      <c r="B1882" s="244"/>
      <c r="C1882" s="383"/>
      <c r="D1882" s="383"/>
      <c r="E1882" s="383"/>
      <c r="F1882" s="155"/>
      <c r="G1882" s="155"/>
      <c r="H1882" s="136">
        <f t="shared" si="59"/>
        <v>0</v>
      </c>
      <c r="I1882" s="136">
        <f t="shared" si="58"/>
        <v>0</v>
      </c>
    </row>
    <row r="1883" spans="1:10" s="5" customFormat="1" hidden="1">
      <c r="A1883" s="1069"/>
      <c r="B1883" s="247" t="s">
        <v>253</v>
      </c>
      <c r="C1883" s="344">
        <f>SUM(C1882:C1882)</f>
        <v>0</v>
      </c>
      <c r="D1883" s="344">
        <f>SUM(D1882:D1882)</f>
        <v>0</v>
      </c>
      <c r="E1883" s="344">
        <f>SUM(E1882:E1882)</f>
        <v>0</v>
      </c>
      <c r="F1883" s="75">
        <f>SUM(F1882:F1882)</f>
        <v>0</v>
      </c>
      <c r="G1883" s="75">
        <f>SUM(G1882:G1882)</f>
        <v>0</v>
      </c>
      <c r="H1883" s="136">
        <f t="shared" si="59"/>
        <v>0</v>
      </c>
      <c r="I1883" s="136">
        <f t="shared" si="58"/>
        <v>0</v>
      </c>
      <c r="J1883" s="73"/>
    </row>
    <row r="1884" spans="1:10" s="73" customFormat="1" hidden="1">
      <c r="A1884" s="1069" t="s">
        <v>490</v>
      </c>
      <c r="B1884" s="244"/>
      <c r="C1884" s="383"/>
      <c r="D1884" s="383"/>
      <c r="E1884" s="383"/>
      <c r="F1884" s="138"/>
      <c r="G1884" s="138"/>
      <c r="H1884" s="136">
        <f t="shared" si="59"/>
        <v>0</v>
      </c>
      <c r="I1884" s="136">
        <f t="shared" si="58"/>
        <v>0</v>
      </c>
    </row>
    <row r="1885" spans="1:10" s="5" customFormat="1" hidden="1">
      <c r="A1885" s="1069"/>
      <c r="B1885" s="247" t="s">
        <v>253</v>
      </c>
      <c r="C1885" s="344">
        <f>SUM(C1884:C1884)</f>
        <v>0</v>
      </c>
      <c r="D1885" s="344">
        <f>SUM(D1884:D1884)</f>
        <v>0</v>
      </c>
      <c r="E1885" s="344">
        <f>SUM(E1884:E1884)</f>
        <v>0</v>
      </c>
      <c r="F1885" s="75">
        <f>SUM(F1884:F1884)</f>
        <v>0</v>
      </c>
      <c r="G1885" s="75">
        <f>SUM(G1884:G1884)</f>
        <v>0</v>
      </c>
      <c r="H1885" s="136">
        <f t="shared" si="59"/>
        <v>0</v>
      </c>
      <c r="I1885" s="136">
        <f t="shared" si="58"/>
        <v>0</v>
      </c>
      <c r="J1885" s="73"/>
    </row>
    <row r="1886" spans="1:10" ht="93.75">
      <c r="A1886" s="1070" t="s">
        <v>805</v>
      </c>
      <c r="B1886" s="310" t="s">
        <v>1819</v>
      </c>
      <c r="C1886" s="452">
        <v>134000</v>
      </c>
      <c r="D1886" s="452"/>
      <c r="E1886" s="452">
        <v>134000</v>
      </c>
      <c r="F1886" s="153"/>
      <c r="G1886" s="153"/>
      <c r="H1886" s="459">
        <f t="shared" si="59"/>
        <v>0</v>
      </c>
      <c r="I1886" s="459">
        <f t="shared" si="58"/>
        <v>268000</v>
      </c>
      <c r="J1886" s="460"/>
    </row>
    <row r="1887" spans="1:10" ht="131.25">
      <c r="A1887" s="1071"/>
      <c r="B1887" s="310" t="s">
        <v>1681</v>
      </c>
      <c r="C1887" s="455">
        <v>150000</v>
      </c>
      <c r="D1887" s="455"/>
      <c r="E1887" s="456">
        <v>150000</v>
      </c>
      <c r="F1887" s="153"/>
      <c r="G1887" s="153"/>
      <c r="H1887" s="459">
        <f t="shared" si="59"/>
        <v>0</v>
      </c>
      <c r="I1887" s="459">
        <f t="shared" si="58"/>
        <v>300000</v>
      </c>
      <c r="J1887" s="460"/>
    </row>
    <row r="1888" spans="1:10" s="480" customFormat="1" ht="67.5" customHeight="1">
      <c r="A1888" s="1071"/>
      <c r="B1888" s="310" t="s">
        <v>1053</v>
      </c>
      <c r="C1888" s="455">
        <v>540000</v>
      </c>
      <c r="D1888" s="455"/>
      <c r="E1888" s="456">
        <v>540000</v>
      </c>
      <c r="F1888" s="240"/>
      <c r="G1888" s="240"/>
      <c r="H1888" s="459">
        <f t="shared" si="59"/>
        <v>0</v>
      </c>
      <c r="I1888" s="459">
        <f t="shared" si="58"/>
        <v>1080000</v>
      </c>
      <c r="J1888" s="460"/>
    </row>
    <row r="1889" spans="1:10" s="234" customFormat="1" ht="115.9" hidden="1" customHeight="1">
      <c r="A1889" s="1072"/>
      <c r="B1889" s="237"/>
      <c r="C1889" s="383"/>
      <c r="D1889" s="383"/>
      <c r="E1889" s="430"/>
      <c r="F1889" s="236"/>
      <c r="G1889" s="236"/>
      <c r="H1889" s="136">
        <f t="shared" si="59"/>
        <v>0</v>
      </c>
      <c r="I1889" s="136">
        <f t="shared" si="58"/>
        <v>0</v>
      </c>
      <c r="J1889" s="73"/>
    </row>
    <row r="1890" spans="1:10" s="234" customFormat="1" ht="102.6" hidden="1" customHeight="1">
      <c r="A1890" s="1072"/>
      <c r="B1890" s="237"/>
      <c r="C1890" s="383"/>
      <c r="D1890" s="383"/>
      <c r="E1890" s="430"/>
      <c r="F1890" s="236"/>
      <c r="G1890" s="236"/>
      <c r="H1890" s="136">
        <f t="shared" si="59"/>
        <v>0</v>
      </c>
      <c r="I1890" s="136">
        <f t="shared" si="58"/>
        <v>0</v>
      </c>
      <c r="J1890" s="73"/>
    </row>
    <row r="1891" spans="1:10">
      <c r="A1891" s="1073"/>
      <c r="B1891" s="461" t="s">
        <v>253</v>
      </c>
      <c r="C1891" s="462">
        <f>SUBTOTAL(9,C1886:C1890)</f>
        <v>824000</v>
      </c>
      <c r="D1891" s="462">
        <f>SUBTOTAL(9,D1886:D1890)</f>
        <v>0</v>
      </c>
      <c r="E1891" s="462">
        <f>SUBTOTAL(9,E1886:E1890)</f>
        <v>824000</v>
      </c>
      <c r="F1891" s="75">
        <f>SUBTOTAL(9,F1886:F1888)</f>
        <v>0</v>
      </c>
      <c r="G1891" s="75">
        <f>SUBTOTAL(9,G1886:G1888)</f>
        <v>0</v>
      </c>
      <c r="H1891" s="459">
        <f t="shared" si="59"/>
        <v>0</v>
      </c>
      <c r="I1891" s="459">
        <f t="shared" si="58"/>
        <v>1648000</v>
      </c>
      <c r="J1891" s="460"/>
    </row>
    <row r="1892" spans="1:10" ht="121.5" customHeight="1">
      <c r="A1892" s="1068" t="s">
        <v>348</v>
      </c>
      <c r="B1892" s="310" t="s">
        <v>1679</v>
      </c>
      <c r="C1892" s="452">
        <f>995000-455000</f>
        <v>540000</v>
      </c>
      <c r="D1892" s="452"/>
      <c r="E1892" s="452">
        <f>995000-455000</f>
        <v>540000</v>
      </c>
      <c r="F1892" s="337">
        <v>0</v>
      </c>
      <c r="G1892" s="337">
        <v>2681600</v>
      </c>
      <c r="H1892" s="459">
        <f t="shared" si="59"/>
        <v>0</v>
      </c>
      <c r="I1892" s="459">
        <f t="shared" si="58"/>
        <v>1080000</v>
      </c>
      <c r="J1892" s="460"/>
    </row>
    <row r="1893" spans="1:10" ht="93.75">
      <c r="A1893" s="1068"/>
      <c r="B1893" s="310" t="s">
        <v>1819</v>
      </c>
      <c r="C1893" s="452">
        <v>154000</v>
      </c>
      <c r="D1893" s="452"/>
      <c r="E1893" s="452">
        <v>154000</v>
      </c>
      <c r="F1893" s="136"/>
      <c r="G1893" s="136"/>
      <c r="H1893" s="459">
        <f t="shared" si="59"/>
        <v>0</v>
      </c>
      <c r="I1893" s="459">
        <f t="shared" si="58"/>
        <v>308000</v>
      </c>
      <c r="J1893" s="460"/>
    </row>
    <row r="1894" spans="1:10" ht="131.25">
      <c r="A1894" s="1068"/>
      <c r="B1894" s="310" t="s">
        <v>1681</v>
      </c>
      <c r="C1894" s="452">
        <v>104180</v>
      </c>
      <c r="D1894" s="452"/>
      <c r="E1894" s="452">
        <v>104180</v>
      </c>
      <c r="F1894" s="136"/>
      <c r="G1894" s="136"/>
      <c r="H1894" s="459">
        <f t="shared" si="59"/>
        <v>0</v>
      </c>
      <c r="I1894" s="459">
        <f t="shared" si="58"/>
        <v>208360</v>
      </c>
      <c r="J1894" s="460"/>
    </row>
    <row r="1895" spans="1:10" s="5" customFormat="1" hidden="1">
      <c r="A1895" s="1069"/>
      <c r="B1895" s="244"/>
      <c r="C1895" s="433"/>
      <c r="D1895" s="433"/>
      <c r="E1895" s="429"/>
      <c r="F1895" s="136"/>
      <c r="G1895" s="136"/>
      <c r="H1895" s="136">
        <f t="shared" si="59"/>
        <v>0</v>
      </c>
      <c r="I1895" s="136">
        <f t="shared" si="58"/>
        <v>0</v>
      </c>
      <c r="J1895" s="73"/>
    </row>
    <row r="1896" spans="1:10">
      <c r="A1896" s="1068"/>
      <c r="B1896" s="461" t="s">
        <v>253</v>
      </c>
      <c r="C1896" s="462">
        <f>SUM(C1892:C1895)</f>
        <v>798180</v>
      </c>
      <c r="D1896" s="462">
        <f>SUM(D1892:D1895)</f>
        <v>0</v>
      </c>
      <c r="E1896" s="462">
        <f>SUM(E1892:E1895)</f>
        <v>798180</v>
      </c>
      <c r="F1896" s="75">
        <f>F1892</f>
        <v>0</v>
      </c>
      <c r="G1896" s="75">
        <f>G1892</f>
        <v>2681600</v>
      </c>
      <c r="H1896" s="459">
        <f t="shared" si="59"/>
        <v>0</v>
      </c>
      <c r="I1896" s="459">
        <f t="shared" si="58"/>
        <v>1596360</v>
      </c>
      <c r="J1896" s="460"/>
    </row>
    <row r="1897" spans="1:10" s="5" customFormat="1" hidden="1">
      <c r="A1897" s="1069" t="s">
        <v>493</v>
      </c>
      <c r="B1897" s="244"/>
      <c r="C1897" s="383"/>
      <c r="D1897" s="383"/>
      <c r="E1897" s="383"/>
      <c r="F1897" s="136">
        <v>0</v>
      </c>
      <c r="G1897" s="136">
        <v>0</v>
      </c>
      <c r="H1897" s="136">
        <f t="shared" si="59"/>
        <v>0</v>
      </c>
      <c r="I1897" s="136">
        <f t="shared" si="58"/>
        <v>0</v>
      </c>
      <c r="J1897" s="73"/>
    </row>
    <row r="1898" spans="1:10" s="5" customFormat="1" hidden="1">
      <c r="A1898" s="1069"/>
      <c r="B1898" s="247" t="s">
        <v>253</v>
      </c>
      <c r="C1898" s="344">
        <f>C1897</f>
        <v>0</v>
      </c>
      <c r="D1898" s="344">
        <f>D1897</f>
        <v>0</v>
      </c>
      <c r="E1898" s="344">
        <f>E1897</f>
        <v>0</v>
      </c>
      <c r="F1898" s="136">
        <v>0</v>
      </c>
      <c r="G1898" s="136">
        <v>0</v>
      </c>
      <c r="H1898" s="136">
        <f t="shared" si="59"/>
        <v>0</v>
      </c>
      <c r="I1898" s="136">
        <f t="shared" si="58"/>
        <v>0</v>
      </c>
      <c r="J1898" s="73"/>
    </row>
    <row r="1899" spans="1:10" ht="93.75">
      <c r="A1899" s="1068" t="s">
        <v>494</v>
      </c>
      <c r="B1899" s="310" t="s">
        <v>1819</v>
      </c>
      <c r="C1899" s="452">
        <v>100200</v>
      </c>
      <c r="D1899" s="452"/>
      <c r="E1899" s="452">
        <v>100200</v>
      </c>
      <c r="F1899" s="136">
        <v>0</v>
      </c>
      <c r="G1899" s="136">
        <v>0</v>
      </c>
      <c r="H1899" s="459">
        <f t="shared" si="59"/>
        <v>0</v>
      </c>
      <c r="I1899" s="459">
        <f t="shared" si="58"/>
        <v>200400</v>
      </c>
      <c r="J1899" s="460"/>
    </row>
    <row r="1900" spans="1:10" ht="75">
      <c r="A1900" s="1068"/>
      <c r="B1900" s="310" t="s">
        <v>2419</v>
      </c>
      <c r="C1900" s="452">
        <v>20000</v>
      </c>
      <c r="D1900" s="452">
        <v>20000</v>
      </c>
      <c r="E1900" s="452"/>
      <c r="F1900" s="136"/>
      <c r="G1900" s="136"/>
      <c r="H1900" s="459">
        <f t="shared" si="59"/>
        <v>0</v>
      </c>
      <c r="I1900" s="459">
        <f t="shared" si="58"/>
        <v>40000</v>
      </c>
      <c r="J1900" s="460"/>
    </row>
    <row r="1901" spans="1:10">
      <c r="A1901" s="1068"/>
      <c r="B1901" s="467" t="s">
        <v>253</v>
      </c>
      <c r="C1901" s="466">
        <f>SUM(C1898:C1900)</f>
        <v>120200</v>
      </c>
      <c r="D1901" s="466">
        <f>SUM(D1898:D1900)</f>
        <v>20000</v>
      </c>
      <c r="E1901" s="466">
        <f>SUM(E1898:E1900)</f>
        <v>100200</v>
      </c>
      <c r="F1901" s="136">
        <v>0</v>
      </c>
      <c r="G1901" s="136">
        <v>0</v>
      </c>
      <c r="H1901" s="459">
        <f t="shared" si="59"/>
        <v>0</v>
      </c>
      <c r="I1901" s="459">
        <f t="shared" si="58"/>
        <v>240400</v>
      </c>
      <c r="J1901" s="460"/>
    </row>
    <row r="1902" spans="1:10" s="5" customFormat="1" ht="168.75" hidden="1">
      <c r="A1902" s="1069" t="s">
        <v>1063</v>
      </c>
      <c r="B1902" s="244" t="s">
        <v>1725</v>
      </c>
      <c r="C1902" s="415">
        <f>500000-500000</f>
        <v>0</v>
      </c>
      <c r="D1902" s="415"/>
      <c r="E1902" s="416">
        <f>500000-500000</f>
        <v>0</v>
      </c>
      <c r="F1902" s="136">
        <v>0</v>
      </c>
      <c r="G1902" s="136">
        <v>0</v>
      </c>
      <c r="H1902" s="136">
        <f t="shared" si="59"/>
        <v>0</v>
      </c>
      <c r="I1902" s="136">
        <f t="shared" si="58"/>
        <v>0</v>
      </c>
      <c r="J1902" s="73"/>
    </row>
    <row r="1903" spans="1:10" s="5" customFormat="1" hidden="1">
      <c r="A1903" s="1069"/>
      <c r="B1903" s="247" t="s">
        <v>253</v>
      </c>
      <c r="C1903" s="384">
        <f>C1902</f>
        <v>0</v>
      </c>
      <c r="D1903" s="384">
        <f>D1902</f>
        <v>0</v>
      </c>
      <c r="E1903" s="343">
        <f>E1902</f>
        <v>0</v>
      </c>
      <c r="F1903" s="136">
        <v>0</v>
      </c>
      <c r="G1903" s="136">
        <v>0</v>
      </c>
      <c r="H1903" s="136">
        <f t="shared" si="59"/>
        <v>0</v>
      </c>
      <c r="I1903" s="136">
        <f t="shared" si="58"/>
        <v>0</v>
      </c>
      <c r="J1903" s="73"/>
    </row>
    <row r="1904" spans="1:10" ht="93.75">
      <c r="A1904" s="1070" t="s">
        <v>45</v>
      </c>
      <c r="B1904" s="310" t="s">
        <v>1821</v>
      </c>
      <c r="C1904" s="453">
        <v>49200</v>
      </c>
      <c r="D1904" s="453"/>
      <c r="E1904" s="453">
        <v>49200</v>
      </c>
      <c r="F1904" s="75"/>
      <c r="G1904" s="75"/>
      <c r="H1904" s="459">
        <f t="shared" si="59"/>
        <v>0</v>
      </c>
      <c r="I1904" s="459">
        <f t="shared" si="58"/>
        <v>98400</v>
      </c>
      <c r="J1904" s="460"/>
    </row>
    <row r="1905" spans="1:12" ht="131.25">
      <c r="A1905" s="1071"/>
      <c r="B1905" s="310" t="s">
        <v>1681</v>
      </c>
      <c r="C1905" s="453">
        <f>5500+600</f>
        <v>6100</v>
      </c>
      <c r="D1905" s="453"/>
      <c r="E1905" s="453">
        <f>5500+600</f>
        <v>6100</v>
      </c>
      <c r="F1905" s="399"/>
      <c r="G1905" s="399"/>
      <c r="H1905" s="459">
        <f t="shared" si="59"/>
        <v>0</v>
      </c>
      <c r="I1905" s="459">
        <f t="shared" si="58"/>
        <v>12200</v>
      </c>
      <c r="J1905" s="460"/>
      <c r="L1905" s="302" t="s">
        <v>1701</v>
      </c>
    </row>
    <row r="1906" spans="1:12">
      <c r="A1906" s="1073"/>
      <c r="B1906" s="461" t="s">
        <v>253</v>
      </c>
      <c r="C1906" s="470">
        <f>C1904+C1905</f>
        <v>55300</v>
      </c>
      <c r="D1906" s="470">
        <f>D1904+D1905</f>
        <v>0</v>
      </c>
      <c r="E1906" s="470">
        <f>E1904+E1905</f>
        <v>55300</v>
      </c>
      <c r="F1906" s="75"/>
      <c r="G1906" s="75"/>
      <c r="H1906" s="459">
        <f t="shared" si="59"/>
        <v>0</v>
      </c>
      <c r="I1906" s="459">
        <f t="shared" si="58"/>
        <v>110600</v>
      </c>
      <c r="J1906" s="460"/>
    </row>
    <row r="1907" spans="1:12" ht="93.75">
      <c r="A1907" s="1070" t="s">
        <v>324</v>
      </c>
      <c r="B1907" s="310" t="s">
        <v>1819</v>
      </c>
      <c r="C1907" s="453">
        <v>21000</v>
      </c>
      <c r="D1907" s="453"/>
      <c r="E1907" s="453">
        <v>21000</v>
      </c>
      <c r="F1907" s="75"/>
      <c r="G1907" s="75"/>
      <c r="H1907" s="459">
        <f t="shared" si="59"/>
        <v>0</v>
      </c>
      <c r="I1907" s="459">
        <f t="shared" si="58"/>
        <v>42000</v>
      </c>
      <c r="J1907" s="460"/>
    </row>
    <row r="1908" spans="1:12" ht="131.25">
      <c r="A1908" s="1071"/>
      <c r="B1908" s="310" t="s">
        <v>1681</v>
      </c>
      <c r="C1908" s="453">
        <v>19720</v>
      </c>
      <c r="D1908" s="453"/>
      <c r="E1908" s="453">
        <v>19720</v>
      </c>
      <c r="F1908" s="75"/>
      <c r="G1908" s="75"/>
      <c r="H1908" s="459">
        <f t="shared" si="59"/>
        <v>0</v>
      </c>
      <c r="I1908" s="459">
        <f t="shared" si="58"/>
        <v>39440</v>
      </c>
      <c r="J1908" s="460"/>
    </row>
    <row r="1909" spans="1:12">
      <c r="A1909" s="1073"/>
      <c r="B1909" s="461" t="s">
        <v>253</v>
      </c>
      <c r="C1909" s="470">
        <f>SUM(C1907:C1908)</f>
        <v>40720</v>
      </c>
      <c r="D1909" s="470">
        <f>SUM(D1907:D1908)</f>
        <v>0</v>
      </c>
      <c r="E1909" s="470">
        <f>SUM(E1907:E1908)</f>
        <v>40720</v>
      </c>
      <c r="F1909" s="75"/>
      <c r="G1909" s="75"/>
      <c r="H1909" s="459">
        <f t="shared" si="59"/>
        <v>0</v>
      </c>
      <c r="I1909" s="459">
        <f t="shared" si="58"/>
        <v>81440</v>
      </c>
      <c r="J1909" s="460"/>
    </row>
    <row r="1910" spans="1:12" ht="93.75">
      <c r="A1910" s="1070" t="s">
        <v>810</v>
      </c>
      <c r="B1910" s="310" t="s">
        <v>1819</v>
      </c>
      <c r="C1910" s="453">
        <v>22000</v>
      </c>
      <c r="D1910" s="453"/>
      <c r="E1910" s="453">
        <v>22000</v>
      </c>
      <c r="F1910" s="75"/>
      <c r="G1910" s="75"/>
      <c r="H1910" s="459">
        <f t="shared" si="59"/>
        <v>0</v>
      </c>
      <c r="I1910" s="459">
        <f t="shared" si="58"/>
        <v>44000</v>
      </c>
      <c r="J1910" s="460"/>
    </row>
    <row r="1911" spans="1:12" ht="131.25">
      <c r="A1911" s="1071"/>
      <c r="B1911" s="310" t="s">
        <v>1681</v>
      </c>
      <c r="C1911" s="453">
        <v>19710</v>
      </c>
      <c r="D1911" s="453"/>
      <c r="E1911" s="453">
        <v>19710</v>
      </c>
      <c r="F1911" s="75"/>
      <c r="G1911" s="75"/>
      <c r="H1911" s="459">
        <f t="shared" si="59"/>
        <v>0</v>
      </c>
      <c r="I1911" s="459">
        <f t="shared" si="58"/>
        <v>39420</v>
      </c>
      <c r="J1911" s="460"/>
    </row>
    <row r="1912" spans="1:12">
      <c r="A1912" s="1073"/>
      <c r="B1912" s="461" t="s">
        <v>253</v>
      </c>
      <c r="C1912" s="470">
        <f>C1910+C1911</f>
        <v>41710</v>
      </c>
      <c r="D1912" s="470">
        <f>D1910+D1911</f>
        <v>0</v>
      </c>
      <c r="E1912" s="470">
        <f>E1910+E1911</f>
        <v>41710</v>
      </c>
      <c r="F1912" s="75"/>
      <c r="G1912" s="75"/>
      <c r="H1912" s="459">
        <f t="shared" si="59"/>
        <v>0</v>
      </c>
      <c r="I1912" s="459">
        <f t="shared" si="58"/>
        <v>83420</v>
      </c>
      <c r="J1912" s="460"/>
    </row>
    <row r="1913" spans="1:12" ht="93.75">
      <c r="A1913" s="1070" t="s">
        <v>54</v>
      </c>
      <c r="B1913" s="310" t="s">
        <v>1819</v>
      </c>
      <c r="C1913" s="453">
        <v>23500</v>
      </c>
      <c r="D1913" s="453"/>
      <c r="E1913" s="453">
        <v>23500</v>
      </c>
      <c r="F1913" s="75"/>
      <c r="G1913" s="75"/>
      <c r="H1913" s="459">
        <f t="shared" si="59"/>
        <v>0</v>
      </c>
      <c r="I1913" s="459">
        <f t="shared" si="58"/>
        <v>47000</v>
      </c>
      <c r="J1913" s="460"/>
    </row>
    <row r="1914" spans="1:12" ht="131.25">
      <c r="A1914" s="1071"/>
      <c r="B1914" s="310" t="s">
        <v>1681</v>
      </c>
      <c r="C1914" s="453">
        <v>26290</v>
      </c>
      <c r="D1914" s="453"/>
      <c r="E1914" s="453">
        <v>26290</v>
      </c>
      <c r="F1914" s="75"/>
      <c r="G1914" s="75"/>
      <c r="H1914" s="459">
        <f t="shared" si="59"/>
        <v>0</v>
      </c>
      <c r="I1914" s="459">
        <f t="shared" si="58"/>
        <v>52580</v>
      </c>
      <c r="J1914" s="460"/>
    </row>
    <row r="1915" spans="1:12">
      <c r="A1915" s="1073"/>
      <c r="B1915" s="461" t="s">
        <v>253</v>
      </c>
      <c r="C1915" s="470">
        <f>SUM(C1913:C1914)</f>
        <v>49790</v>
      </c>
      <c r="D1915" s="470">
        <f>SUM(D1913:D1914)</f>
        <v>0</v>
      </c>
      <c r="E1915" s="470">
        <f>SUM(E1913:E1914)</f>
        <v>49790</v>
      </c>
      <c r="F1915" s="248">
        <f>SUM(F1913:F1914)</f>
        <v>0</v>
      </c>
      <c r="G1915" s="248">
        <f>SUM(G1913:G1914)</f>
        <v>0</v>
      </c>
      <c r="H1915" s="459">
        <f t="shared" si="59"/>
        <v>0</v>
      </c>
      <c r="I1915" s="459">
        <f t="shared" si="58"/>
        <v>99580</v>
      </c>
      <c r="J1915" s="460"/>
    </row>
    <row r="1916" spans="1:12" ht="93.75">
      <c r="A1916" s="1070" t="s">
        <v>1691</v>
      </c>
      <c r="B1916" s="310" t="s">
        <v>1819</v>
      </c>
      <c r="C1916" s="453">
        <v>95400</v>
      </c>
      <c r="D1916" s="453"/>
      <c r="E1916" s="453">
        <v>95400</v>
      </c>
      <c r="F1916" s="75"/>
      <c r="G1916" s="75"/>
      <c r="H1916" s="459">
        <f t="shared" si="59"/>
        <v>0</v>
      </c>
      <c r="I1916" s="459">
        <f t="shared" si="58"/>
        <v>190800</v>
      </c>
      <c r="J1916" s="460"/>
    </row>
    <row r="1917" spans="1:12" ht="131.25">
      <c r="A1917" s="1071"/>
      <c r="B1917" s="310" t="s">
        <v>1681</v>
      </c>
      <c r="C1917" s="453">
        <v>78900</v>
      </c>
      <c r="D1917" s="453"/>
      <c r="E1917" s="453">
        <v>78900</v>
      </c>
      <c r="F1917" s="75"/>
      <c r="G1917" s="75"/>
      <c r="H1917" s="459">
        <f t="shared" si="59"/>
        <v>0</v>
      </c>
      <c r="I1917" s="459">
        <f t="shared" si="58"/>
        <v>157800</v>
      </c>
      <c r="J1917" s="460"/>
    </row>
    <row r="1918" spans="1:12" ht="37.5">
      <c r="A1918" s="1071"/>
      <c r="B1918" s="310" t="s">
        <v>1736</v>
      </c>
      <c r="C1918" s="453">
        <v>540000</v>
      </c>
      <c r="D1918" s="453"/>
      <c r="E1918" s="453">
        <v>540000</v>
      </c>
      <c r="F1918" s="75"/>
      <c r="G1918" s="75"/>
      <c r="H1918" s="459">
        <f t="shared" si="59"/>
        <v>0</v>
      </c>
      <c r="I1918" s="459">
        <f t="shared" si="58"/>
        <v>1080000</v>
      </c>
      <c r="J1918" s="460"/>
    </row>
    <row r="1919" spans="1:12">
      <c r="A1919" s="1073"/>
      <c r="B1919" s="461" t="s">
        <v>253</v>
      </c>
      <c r="C1919" s="470">
        <f>SUM(C1916:C1918)</f>
        <v>714300</v>
      </c>
      <c r="D1919" s="470">
        <f>SUM(D1916:D1918)</f>
        <v>0</v>
      </c>
      <c r="E1919" s="470">
        <f>SUM(E1916:E1918)</f>
        <v>714300</v>
      </c>
      <c r="F1919" s="75"/>
      <c r="G1919" s="75"/>
      <c r="H1919" s="459">
        <f t="shared" si="59"/>
        <v>0</v>
      </c>
      <c r="I1919" s="459">
        <f t="shared" si="58"/>
        <v>1428600</v>
      </c>
      <c r="J1919" s="460"/>
    </row>
    <row r="1920" spans="1:12" ht="150">
      <c r="A1920" s="1070" t="s">
        <v>1694</v>
      </c>
      <c r="B1920" s="310" t="s">
        <v>1695</v>
      </c>
      <c r="C1920" s="453">
        <v>67000</v>
      </c>
      <c r="D1920" s="453">
        <v>67000</v>
      </c>
      <c r="E1920" s="453"/>
      <c r="F1920" s="75"/>
      <c r="G1920" s="75"/>
      <c r="H1920" s="459">
        <f t="shared" si="59"/>
        <v>0</v>
      </c>
      <c r="I1920" s="459">
        <f t="shared" si="58"/>
        <v>134000</v>
      </c>
      <c r="J1920" s="460"/>
    </row>
    <row r="1921" spans="1:10">
      <c r="A1921" s="1073"/>
      <c r="B1921" s="461" t="s">
        <v>253</v>
      </c>
      <c r="C1921" s="470">
        <f>C1920</f>
        <v>67000</v>
      </c>
      <c r="D1921" s="470">
        <f>D1920</f>
        <v>67000</v>
      </c>
      <c r="E1921" s="470">
        <f>E1920</f>
        <v>0</v>
      </c>
      <c r="F1921" s="75"/>
      <c r="G1921" s="75"/>
      <c r="H1921" s="459">
        <f t="shared" si="59"/>
        <v>0</v>
      </c>
      <c r="I1921" s="459">
        <f t="shared" si="58"/>
        <v>134000</v>
      </c>
      <c r="J1921" s="460"/>
    </row>
    <row r="1922" spans="1:10" ht="93.75">
      <c r="A1922" s="1070" t="s">
        <v>491</v>
      </c>
      <c r="B1922" s="310" t="s">
        <v>1819</v>
      </c>
      <c r="C1922" s="453">
        <v>33000</v>
      </c>
      <c r="D1922" s="453"/>
      <c r="E1922" s="453">
        <v>33000</v>
      </c>
      <c r="F1922" s="75"/>
      <c r="G1922" s="75"/>
      <c r="H1922" s="459">
        <f t="shared" si="59"/>
        <v>0</v>
      </c>
      <c r="I1922" s="459">
        <f t="shared" si="58"/>
        <v>66000</v>
      </c>
      <c r="J1922" s="460"/>
    </row>
    <row r="1923" spans="1:10" ht="131.25">
      <c r="A1923" s="1071"/>
      <c r="B1923" s="310" t="s">
        <v>1681</v>
      </c>
      <c r="C1923" s="453">
        <v>19720</v>
      </c>
      <c r="D1923" s="453"/>
      <c r="E1923" s="453">
        <v>19720</v>
      </c>
      <c r="F1923" s="366"/>
      <c r="G1923" s="366"/>
      <c r="H1923" s="459">
        <f t="shared" si="59"/>
        <v>0</v>
      </c>
      <c r="I1923" s="459">
        <f t="shared" si="58"/>
        <v>39440</v>
      </c>
      <c r="J1923" s="460"/>
    </row>
    <row r="1924" spans="1:10">
      <c r="A1924" s="1073"/>
      <c r="B1924" s="461" t="s">
        <v>253</v>
      </c>
      <c r="C1924" s="470">
        <f>C1922+C1923</f>
        <v>52720</v>
      </c>
      <c r="D1924" s="470">
        <f>D1922+D1923</f>
        <v>0</v>
      </c>
      <c r="E1924" s="470">
        <f>E1922+E1923</f>
        <v>52720</v>
      </c>
      <c r="F1924" s="75"/>
      <c r="G1924" s="75"/>
      <c r="H1924" s="459">
        <f t="shared" si="59"/>
        <v>0</v>
      </c>
      <c r="I1924" s="459">
        <f t="shared" si="58"/>
        <v>105440</v>
      </c>
      <c r="J1924" s="460"/>
    </row>
    <row r="1925" spans="1:10" ht="93.75">
      <c r="A1925" s="1070" t="s">
        <v>808</v>
      </c>
      <c r="B1925" s="310" t="s">
        <v>1819</v>
      </c>
      <c r="C1925" s="453">
        <v>60500</v>
      </c>
      <c r="D1925" s="453"/>
      <c r="E1925" s="453">
        <v>60500</v>
      </c>
      <c r="F1925" s="75"/>
      <c r="G1925" s="75"/>
      <c r="H1925" s="459">
        <f t="shared" si="59"/>
        <v>0</v>
      </c>
      <c r="I1925" s="459">
        <f t="shared" si="58"/>
        <v>121000</v>
      </c>
      <c r="J1925" s="460"/>
    </row>
    <row r="1926" spans="1:10" ht="131.25">
      <c r="A1926" s="1071"/>
      <c r="B1926" s="310" t="s">
        <v>1681</v>
      </c>
      <c r="C1926" s="453">
        <v>65740</v>
      </c>
      <c r="D1926" s="453"/>
      <c r="E1926" s="453">
        <v>65740</v>
      </c>
      <c r="F1926" s="75"/>
      <c r="G1926" s="75"/>
      <c r="H1926" s="459">
        <f t="shared" si="59"/>
        <v>0</v>
      </c>
      <c r="I1926" s="459">
        <f t="shared" si="58"/>
        <v>131480</v>
      </c>
      <c r="J1926" s="460"/>
    </row>
    <row r="1927" spans="1:10">
      <c r="A1927" s="1073"/>
      <c r="B1927" s="461" t="s">
        <v>253</v>
      </c>
      <c r="C1927" s="470">
        <f>C1925+C1926</f>
        <v>126240</v>
      </c>
      <c r="D1927" s="470">
        <f>D1925+D1926</f>
        <v>0</v>
      </c>
      <c r="E1927" s="470">
        <f>E1925+E1926</f>
        <v>126240</v>
      </c>
      <c r="F1927" s="75"/>
      <c r="G1927" s="75"/>
      <c r="H1927" s="459">
        <f t="shared" si="59"/>
        <v>0</v>
      </c>
      <c r="I1927" s="459">
        <f t="shared" si="58"/>
        <v>252480</v>
      </c>
      <c r="J1927" s="460"/>
    </row>
    <row r="1928" spans="1:10" ht="93.75">
      <c r="A1928" s="1070" t="s">
        <v>816</v>
      </c>
      <c r="B1928" s="310" t="s">
        <v>1819</v>
      </c>
      <c r="C1928" s="453">
        <v>37400</v>
      </c>
      <c r="D1928" s="453"/>
      <c r="E1928" s="453">
        <v>37400</v>
      </c>
      <c r="F1928" s="75"/>
      <c r="G1928" s="75"/>
      <c r="H1928" s="459">
        <f t="shared" si="59"/>
        <v>0</v>
      </c>
      <c r="I1928" s="459">
        <f t="shared" si="58"/>
        <v>74800</v>
      </c>
      <c r="J1928" s="460"/>
    </row>
    <row r="1929" spans="1:10">
      <c r="A1929" s="1073"/>
      <c r="B1929" s="461" t="s">
        <v>253</v>
      </c>
      <c r="C1929" s="470">
        <f>C1928</f>
        <v>37400</v>
      </c>
      <c r="D1929" s="470">
        <f>D1928</f>
        <v>0</v>
      </c>
      <c r="E1929" s="470">
        <f>E1928</f>
        <v>37400</v>
      </c>
      <c r="F1929" s="75"/>
      <c r="G1929" s="75"/>
      <c r="H1929" s="459">
        <f t="shared" si="59"/>
        <v>0</v>
      </c>
      <c r="I1929" s="459">
        <f t="shared" ref="I1929:I1992" si="60">SUM(C1929:E1929)</f>
        <v>74800</v>
      </c>
      <c r="J1929" s="460"/>
    </row>
    <row r="1930" spans="1:10" ht="93.75">
      <c r="A1930" s="1070" t="s">
        <v>361</v>
      </c>
      <c r="B1930" s="310" t="s">
        <v>1819</v>
      </c>
      <c r="C1930" s="453">
        <v>17000</v>
      </c>
      <c r="D1930" s="453"/>
      <c r="E1930" s="453">
        <v>17000</v>
      </c>
      <c r="F1930" s="75"/>
      <c r="G1930" s="75"/>
      <c r="H1930" s="459">
        <f t="shared" ref="H1930:H1992" si="61">E1930+D1930-C1930</f>
        <v>0</v>
      </c>
      <c r="I1930" s="459">
        <f t="shared" si="60"/>
        <v>34000</v>
      </c>
      <c r="J1930" s="460"/>
    </row>
    <row r="1931" spans="1:10" ht="131.25">
      <c r="A1931" s="1071"/>
      <c r="B1931" s="310" t="s">
        <v>1681</v>
      </c>
      <c r="C1931" s="453">
        <v>19720</v>
      </c>
      <c r="D1931" s="453"/>
      <c r="E1931" s="453">
        <v>19720</v>
      </c>
      <c r="F1931" s="75"/>
      <c r="G1931" s="75"/>
      <c r="H1931" s="459">
        <f t="shared" si="61"/>
        <v>0</v>
      </c>
      <c r="I1931" s="459">
        <f t="shared" si="60"/>
        <v>39440</v>
      </c>
      <c r="J1931" s="460"/>
    </row>
    <row r="1932" spans="1:10">
      <c r="A1932" s="1073"/>
      <c r="B1932" s="461" t="s">
        <v>253</v>
      </c>
      <c r="C1932" s="470">
        <f>C1930+C1931</f>
        <v>36720</v>
      </c>
      <c r="D1932" s="470">
        <f>D1930+D1931</f>
        <v>0</v>
      </c>
      <c r="E1932" s="470">
        <f>E1930+E1931</f>
        <v>36720</v>
      </c>
      <c r="F1932" s="75"/>
      <c r="G1932" s="75"/>
      <c r="H1932" s="459">
        <f t="shared" si="61"/>
        <v>0</v>
      </c>
      <c r="I1932" s="459">
        <f t="shared" si="60"/>
        <v>73440</v>
      </c>
      <c r="J1932" s="460"/>
    </row>
    <row r="1933" spans="1:10" ht="93.75">
      <c r="A1933" s="1070" t="s">
        <v>137</v>
      </c>
      <c r="B1933" s="310" t="s">
        <v>1819</v>
      </c>
      <c r="C1933" s="453">
        <v>19500</v>
      </c>
      <c r="D1933" s="453"/>
      <c r="E1933" s="453">
        <v>19500</v>
      </c>
      <c r="F1933" s="75"/>
      <c r="G1933" s="75"/>
      <c r="H1933" s="459">
        <f t="shared" si="61"/>
        <v>0</v>
      </c>
      <c r="I1933" s="459">
        <f t="shared" si="60"/>
        <v>39000</v>
      </c>
      <c r="J1933" s="460"/>
    </row>
    <row r="1934" spans="1:10" ht="131.25">
      <c r="A1934" s="1071"/>
      <c r="B1934" s="310" t="s">
        <v>1681</v>
      </c>
      <c r="C1934" s="453">
        <v>26290</v>
      </c>
      <c r="D1934" s="453"/>
      <c r="E1934" s="453">
        <v>26290</v>
      </c>
      <c r="F1934" s="75"/>
      <c r="G1934" s="75"/>
      <c r="H1934" s="459">
        <f t="shared" si="61"/>
        <v>0</v>
      </c>
      <c r="I1934" s="459">
        <f t="shared" si="60"/>
        <v>52580</v>
      </c>
      <c r="J1934" s="460"/>
    </row>
    <row r="1935" spans="1:10">
      <c r="A1935" s="1073"/>
      <c r="B1935" s="467" t="s">
        <v>253</v>
      </c>
      <c r="C1935" s="466">
        <f>SUM(C1933:C1934)</f>
        <v>45790</v>
      </c>
      <c r="D1935" s="466">
        <f>SUM(D1933:D1934)</f>
        <v>0</v>
      </c>
      <c r="E1935" s="466">
        <f>SUM(E1933:E1934)</f>
        <v>45790</v>
      </c>
      <c r="F1935" s="75"/>
      <c r="G1935" s="75"/>
      <c r="H1935" s="459">
        <f t="shared" si="61"/>
        <v>0</v>
      </c>
      <c r="I1935" s="459">
        <f t="shared" si="60"/>
        <v>91580</v>
      </c>
      <c r="J1935" s="460"/>
    </row>
    <row r="1936" spans="1:10" ht="93.75">
      <c r="A1936" s="1070" t="s">
        <v>55</v>
      </c>
      <c r="B1936" s="310" t="s">
        <v>1819</v>
      </c>
      <c r="C1936" s="455">
        <v>31200</v>
      </c>
      <c r="D1936" s="455"/>
      <c r="E1936" s="455">
        <v>31200</v>
      </c>
      <c r="F1936" s="75"/>
      <c r="G1936" s="75"/>
      <c r="H1936" s="459">
        <f t="shared" si="61"/>
        <v>0</v>
      </c>
      <c r="I1936" s="459">
        <f t="shared" si="60"/>
        <v>62400</v>
      </c>
      <c r="J1936" s="460"/>
    </row>
    <row r="1937" spans="1:10" ht="131.25">
      <c r="A1937" s="1071"/>
      <c r="B1937" s="310" t="s">
        <v>1681</v>
      </c>
      <c r="C1937" s="455">
        <v>26290</v>
      </c>
      <c r="D1937" s="455"/>
      <c r="E1937" s="455">
        <v>26290</v>
      </c>
      <c r="F1937" s="75"/>
      <c r="G1937" s="75"/>
      <c r="H1937" s="459">
        <f t="shared" si="61"/>
        <v>0</v>
      </c>
      <c r="I1937" s="459">
        <f t="shared" si="60"/>
        <v>52580</v>
      </c>
      <c r="J1937" s="460"/>
    </row>
    <row r="1938" spans="1:10">
      <c r="A1938" s="1073"/>
      <c r="B1938" s="467" t="s">
        <v>253</v>
      </c>
      <c r="C1938" s="466">
        <f>SUM(C1936:C1937)</f>
        <v>57490</v>
      </c>
      <c r="D1938" s="466">
        <f>SUM(D1936:D1937)</f>
        <v>0</v>
      </c>
      <c r="E1938" s="466">
        <f>SUM(E1936:E1937)</f>
        <v>57490</v>
      </c>
      <c r="F1938" s="75"/>
      <c r="G1938" s="75"/>
      <c r="H1938" s="459">
        <f t="shared" si="61"/>
        <v>0</v>
      </c>
      <c r="I1938" s="459">
        <f t="shared" si="60"/>
        <v>114980</v>
      </c>
      <c r="J1938" s="460"/>
    </row>
    <row r="1939" spans="1:10" ht="93.75">
      <c r="A1939" s="1070" t="s">
        <v>812</v>
      </c>
      <c r="B1939" s="310" t="s">
        <v>1819</v>
      </c>
      <c r="C1939" s="455">
        <v>31000</v>
      </c>
      <c r="D1939" s="455"/>
      <c r="E1939" s="455">
        <v>31000</v>
      </c>
      <c r="F1939" s="75"/>
      <c r="G1939" s="75"/>
      <c r="H1939" s="459">
        <f t="shared" si="61"/>
        <v>0</v>
      </c>
      <c r="I1939" s="459">
        <f t="shared" si="60"/>
        <v>62000</v>
      </c>
      <c r="J1939" s="460"/>
    </row>
    <row r="1940" spans="1:10" s="463" customFormat="1" ht="131.25">
      <c r="A1940" s="1071"/>
      <c r="B1940" s="310" t="s">
        <v>1681</v>
      </c>
      <c r="C1940" s="455">
        <v>39440</v>
      </c>
      <c r="D1940" s="455"/>
      <c r="E1940" s="455">
        <v>39440</v>
      </c>
      <c r="F1940" s="75"/>
      <c r="G1940" s="75"/>
      <c r="H1940" s="459">
        <f t="shared" si="61"/>
        <v>0</v>
      </c>
      <c r="I1940" s="459">
        <f t="shared" si="60"/>
        <v>78880</v>
      </c>
      <c r="J1940" s="485"/>
    </row>
    <row r="1941" spans="1:10">
      <c r="A1941" s="1073"/>
      <c r="B1941" s="467" t="s">
        <v>253</v>
      </c>
      <c r="C1941" s="466">
        <f>SUM(C1939:C1940)</f>
        <v>70440</v>
      </c>
      <c r="D1941" s="466">
        <f>SUM(D1939:D1940)</f>
        <v>0</v>
      </c>
      <c r="E1941" s="466">
        <f>SUM(E1939:E1940)</f>
        <v>70440</v>
      </c>
      <c r="F1941" s="75"/>
      <c r="G1941" s="75"/>
      <c r="H1941" s="459">
        <f t="shared" si="61"/>
        <v>0</v>
      </c>
      <c r="I1941" s="459">
        <f t="shared" si="60"/>
        <v>140880</v>
      </c>
      <c r="J1941" s="460"/>
    </row>
    <row r="1942" spans="1:10" ht="131.25">
      <c r="A1942" s="1070" t="s">
        <v>321</v>
      </c>
      <c r="B1942" s="310" t="s">
        <v>1681</v>
      </c>
      <c r="C1942" s="455">
        <v>150000</v>
      </c>
      <c r="D1942" s="455"/>
      <c r="E1942" s="455">
        <v>150000</v>
      </c>
      <c r="F1942" s="75"/>
      <c r="G1942" s="75"/>
      <c r="H1942" s="459">
        <f t="shared" si="61"/>
        <v>0</v>
      </c>
      <c r="I1942" s="459">
        <f t="shared" si="60"/>
        <v>300000</v>
      </c>
      <c r="J1942" s="460"/>
    </row>
    <row r="1943" spans="1:10" ht="93.75">
      <c r="A1943" s="1071"/>
      <c r="B1943" s="484" t="s">
        <v>3118</v>
      </c>
      <c r="C1943" s="456">
        <v>30000</v>
      </c>
      <c r="D1943" s="456">
        <v>30000</v>
      </c>
      <c r="E1943" s="456"/>
      <c r="F1943" s="75"/>
      <c r="G1943" s="75"/>
      <c r="H1943" s="459">
        <f t="shared" si="61"/>
        <v>0</v>
      </c>
      <c r="I1943" s="459">
        <f t="shared" si="60"/>
        <v>60000</v>
      </c>
      <c r="J1943" s="460"/>
    </row>
    <row r="1944" spans="1:10" ht="93.75">
      <c r="A1944" s="1071"/>
      <c r="B1944" s="310" t="s">
        <v>1819</v>
      </c>
      <c r="C1944" s="456">
        <v>254400</v>
      </c>
      <c r="D1944" s="456"/>
      <c r="E1944" s="456">
        <v>254400</v>
      </c>
      <c r="F1944" s="75"/>
      <c r="G1944" s="75"/>
      <c r="H1944" s="459">
        <f t="shared" si="61"/>
        <v>0</v>
      </c>
      <c r="I1944" s="459">
        <f t="shared" si="60"/>
        <v>508800</v>
      </c>
      <c r="J1944" s="460"/>
    </row>
    <row r="1945" spans="1:10" s="5" customFormat="1" hidden="1">
      <c r="A1945" s="1072"/>
      <c r="B1945" s="244"/>
      <c r="C1945" s="383"/>
      <c r="D1945" s="383"/>
      <c r="E1945" s="383"/>
      <c r="F1945" s="75"/>
      <c r="G1945" s="75"/>
      <c r="H1945" s="136">
        <f t="shared" si="61"/>
        <v>0</v>
      </c>
      <c r="I1945" s="136">
        <f t="shared" si="60"/>
        <v>0</v>
      </c>
      <c r="J1945" s="73"/>
    </row>
    <row r="1946" spans="1:10">
      <c r="A1946" s="1073"/>
      <c r="B1946" s="467" t="s">
        <v>253</v>
      </c>
      <c r="C1946" s="466">
        <f>SUM(C1942:C1945)</f>
        <v>434400</v>
      </c>
      <c r="D1946" s="466">
        <f>SUM(D1942:D1945)</f>
        <v>30000</v>
      </c>
      <c r="E1946" s="466">
        <f>SUM(E1942:E1945)</f>
        <v>404400</v>
      </c>
      <c r="F1946" s="75"/>
      <c r="G1946" s="75"/>
      <c r="H1946" s="459">
        <f t="shared" si="61"/>
        <v>0</v>
      </c>
      <c r="I1946" s="459">
        <f t="shared" si="60"/>
        <v>868800</v>
      </c>
      <c r="J1946" s="460"/>
    </row>
    <row r="1947" spans="1:10" ht="93.75">
      <c r="A1947" s="1070" t="s">
        <v>809</v>
      </c>
      <c r="B1947" s="310" t="s">
        <v>1819</v>
      </c>
      <c r="C1947" s="455">
        <v>37000</v>
      </c>
      <c r="D1947" s="455"/>
      <c r="E1947" s="455">
        <v>37000</v>
      </c>
      <c r="F1947" s="75"/>
      <c r="G1947" s="75"/>
      <c r="H1947" s="459">
        <f t="shared" si="61"/>
        <v>0</v>
      </c>
      <c r="I1947" s="459">
        <f t="shared" si="60"/>
        <v>74000</v>
      </c>
      <c r="J1947" s="460"/>
    </row>
    <row r="1948" spans="1:10" ht="131.25">
      <c r="A1948" s="1071"/>
      <c r="B1948" s="310" t="s">
        <v>1681</v>
      </c>
      <c r="C1948" s="455">
        <v>46020</v>
      </c>
      <c r="D1948" s="455"/>
      <c r="E1948" s="455">
        <v>46020</v>
      </c>
      <c r="F1948" s="75"/>
      <c r="G1948" s="75"/>
      <c r="H1948" s="459">
        <f t="shared" si="61"/>
        <v>0</v>
      </c>
      <c r="I1948" s="459">
        <f t="shared" si="60"/>
        <v>92040</v>
      </c>
      <c r="J1948" s="460"/>
    </row>
    <row r="1949" spans="1:10">
      <c r="A1949" s="1073"/>
      <c r="B1949" s="467" t="s">
        <v>253</v>
      </c>
      <c r="C1949" s="466">
        <f>SUM(C1947:C1948)</f>
        <v>83020</v>
      </c>
      <c r="D1949" s="466">
        <f>SUM(D1947:D1948)</f>
        <v>0</v>
      </c>
      <c r="E1949" s="466">
        <f>SUM(E1947:E1948)</f>
        <v>83020</v>
      </c>
      <c r="F1949" s="75"/>
      <c r="G1949" s="75"/>
      <c r="H1949" s="459">
        <f t="shared" si="61"/>
        <v>0</v>
      </c>
      <c r="I1949" s="459">
        <f t="shared" si="60"/>
        <v>166040</v>
      </c>
      <c r="J1949" s="460"/>
    </row>
    <row r="1950" spans="1:10" ht="93.75">
      <c r="A1950" s="1070" t="s">
        <v>200</v>
      </c>
      <c r="B1950" s="310" t="s">
        <v>1819</v>
      </c>
      <c r="C1950" s="455">
        <v>27000</v>
      </c>
      <c r="D1950" s="455"/>
      <c r="E1950" s="455">
        <v>27000</v>
      </c>
      <c r="F1950" s="75"/>
      <c r="G1950" s="75"/>
      <c r="H1950" s="459">
        <f t="shared" si="61"/>
        <v>0</v>
      </c>
      <c r="I1950" s="459">
        <f t="shared" si="60"/>
        <v>54000</v>
      </c>
      <c r="J1950" s="460"/>
    </row>
    <row r="1951" spans="1:10" ht="131.25">
      <c r="A1951" s="1071"/>
      <c r="B1951" s="310" t="s">
        <v>1681</v>
      </c>
      <c r="C1951" s="455">
        <f>3287+523</f>
        <v>3810</v>
      </c>
      <c r="D1951" s="455"/>
      <c r="E1951" s="455">
        <f>3287+523</f>
        <v>3810</v>
      </c>
      <c r="F1951" s="366"/>
      <c r="G1951" s="366"/>
      <c r="H1951" s="459">
        <f t="shared" si="61"/>
        <v>0</v>
      </c>
      <c r="I1951" s="459">
        <f t="shared" si="60"/>
        <v>7620</v>
      </c>
      <c r="J1951" s="460"/>
    </row>
    <row r="1952" spans="1:10" s="5" customFormat="1" hidden="1">
      <c r="A1952" s="1072"/>
      <c r="B1952" s="72"/>
      <c r="C1952" s="383"/>
      <c r="D1952" s="383"/>
      <c r="E1952" s="383"/>
      <c r="F1952" s="75"/>
      <c r="G1952" s="75"/>
      <c r="H1952" s="136">
        <f t="shared" si="61"/>
        <v>0</v>
      </c>
      <c r="I1952" s="136">
        <f t="shared" si="60"/>
        <v>0</v>
      </c>
      <c r="J1952" s="73"/>
    </row>
    <row r="1953" spans="1:10">
      <c r="A1953" s="1073"/>
      <c r="B1953" s="467" t="s">
        <v>253</v>
      </c>
      <c r="C1953" s="466">
        <f>SUM(C1950:C1952)</f>
        <v>30810</v>
      </c>
      <c r="D1953" s="466">
        <f>SUM(D1950:D1952)</f>
        <v>0</v>
      </c>
      <c r="E1953" s="466">
        <f>SUM(E1950:E1952)</f>
        <v>30810</v>
      </c>
      <c r="F1953" s="75"/>
      <c r="G1953" s="75"/>
      <c r="H1953" s="459">
        <f t="shared" si="61"/>
        <v>0</v>
      </c>
      <c r="I1953" s="459">
        <f t="shared" si="60"/>
        <v>61620</v>
      </c>
      <c r="J1953" s="460"/>
    </row>
    <row r="1954" spans="1:10" ht="75">
      <c r="A1954" s="1070" t="s">
        <v>1729</v>
      </c>
      <c r="B1954" s="310" t="s">
        <v>1730</v>
      </c>
      <c r="C1954" s="455">
        <v>40000</v>
      </c>
      <c r="D1954" s="455"/>
      <c r="E1954" s="455">
        <v>40000</v>
      </c>
      <c r="F1954" s="75"/>
      <c r="G1954" s="75"/>
      <c r="H1954" s="459">
        <f t="shared" si="61"/>
        <v>0</v>
      </c>
      <c r="I1954" s="459">
        <f t="shared" si="60"/>
        <v>80000</v>
      </c>
      <c r="J1954" s="460"/>
    </row>
    <row r="1955" spans="1:10">
      <c r="A1955" s="1073"/>
      <c r="B1955" s="467" t="s">
        <v>253</v>
      </c>
      <c r="C1955" s="466">
        <f>C1954</f>
        <v>40000</v>
      </c>
      <c r="D1955" s="466">
        <f>D1954</f>
        <v>0</v>
      </c>
      <c r="E1955" s="466">
        <f>E1954</f>
        <v>40000</v>
      </c>
      <c r="F1955" s="75"/>
      <c r="G1955" s="75"/>
      <c r="H1955" s="459">
        <f t="shared" si="61"/>
        <v>0</v>
      </c>
      <c r="I1955" s="459">
        <f t="shared" si="60"/>
        <v>80000</v>
      </c>
      <c r="J1955" s="460"/>
    </row>
    <row r="1956" spans="1:10" ht="93.75">
      <c r="A1956" s="1070" t="s">
        <v>813</v>
      </c>
      <c r="B1956" s="310" t="s">
        <v>1819</v>
      </c>
      <c r="C1956" s="455">
        <v>14000</v>
      </c>
      <c r="D1956" s="455"/>
      <c r="E1956" s="455">
        <v>14000</v>
      </c>
      <c r="F1956" s="75"/>
      <c r="G1956" s="75"/>
      <c r="H1956" s="459">
        <f t="shared" si="61"/>
        <v>0</v>
      </c>
      <c r="I1956" s="459">
        <f t="shared" si="60"/>
        <v>28000</v>
      </c>
      <c r="J1956" s="460"/>
    </row>
    <row r="1957" spans="1:10" ht="131.25">
      <c r="A1957" s="1071"/>
      <c r="B1957" s="310" t="s">
        <v>1681</v>
      </c>
      <c r="C1957" s="455">
        <v>13150</v>
      </c>
      <c r="D1957" s="455"/>
      <c r="E1957" s="455">
        <v>13150</v>
      </c>
      <c r="F1957" s="75"/>
      <c r="G1957" s="75"/>
      <c r="H1957" s="459">
        <f t="shared" si="61"/>
        <v>0</v>
      </c>
      <c r="I1957" s="459">
        <f t="shared" si="60"/>
        <v>26300</v>
      </c>
      <c r="J1957" s="460"/>
    </row>
    <row r="1958" spans="1:10">
      <c r="A1958" s="1073"/>
      <c r="B1958" s="467" t="s">
        <v>253</v>
      </c>
      <c r="C1958" s="466">
        <f>C1956+C1957</f>
        <v>27150</v>
      </c>
      <c r="D1958" s="466">
        <f>D1956+D1957</f>
        <v>0</v>
      </c>
      <c r="E1958" s="466">
        <f>E1956+E1957</f>
        <v>27150</v>
      </c>
      <c r="F1958" s="344">
        <f>F1956+F1957</f>
        <v>0</v>
      </c>
      <c r="G1958" s="344">
        <f>G1956+G1957</f>
        <v>0</v>
      </c>
      <c r="H1958" s="459">
        <f t="shared" si="61"/>
        <v>0</v>
      </c>
      <c r="I1958" s="459">
        <f t="shared" si="60"/>
        <v>54300</v>
      </c>
      <c r="J1958" s="460"/>
    </row>
    <row r="1959" spans="1:10" ht="131.25">
      <c r="A1959" s="1070" t="s">
        <v>811</v>
      </c>
      <c r="B1959" s="310" t="s">
        <v>1681</v>
      </c>
      <c r="C1959" s="455">
        <v>39440</v>
      </c>
      <c r="D1959" s="455"/>
      <c r="E1959" s="455">
        <v>39440</v>
      </c>
      <c r="F1959" s="369"/>
      <c r="G1959" s="369"/>
      <c r="H1959" s="459">
        <f t="shared" si="61"/>
        <v>0</v>
      </c>
      <c r="I1959" s="459">
        <f t="shared" si="60"/>
        <v>78880</v>
      </c>
      <c r="J1959" s="460" t="s">
        <v>1861</v>
      </c>
    </row>
    <row r="1960" spans="1:10" ht="93.75">
      <c r="A1960" s="1071"/>
      <c r="B1960" s="310" t="s">
        <v>1819</v>
      </c>
      <c r="C1960" s="455">
        <v>40700</v>
      </c>
      <c r="D1960" s="455"/>
      <c r="E1960" s="455">
        <v>40700</v>
      </c>
      <c r="F1960" s="369"/>
      <c r="G1960" s="369"/>
      <c r="H1960" s="459">
        <f t="shared" si="61"/>
        <v>0</v>
      </c>
      <c r="I1960" s="459">
        <f t="shared" si="60"/>
        <v>81400</v>
      </c>
      <c r="J1960" s="460"/>
    </row>
    <row r="1961" spans="1:10">
      <c r="A1961" s="1073"/>
      <c r="B1961" s="467" t="s">
        <v>253</v>
      </c>
      <c r="C1961" s="466">
        <f>SUM(C1959:C1960)</f>
        <v>80140</v>
      </c>
      <c r="D1961" s="466">
        <f>SUM(D1959:D1960)</f>
        <v>0</v>
      </c>
      <c r="E1961" s="466">
        <f>SUM(E1959:E1960)</f>
        <v>80140</v>
      </c>
      <c r="F1961" s="75"/>
      <c r="G1961" s="75"/>
      <c r="H1961" s="459">
        <f t="shared" si="61"/>
        <v>0</v>
      </c>
      <c r="I1961" s="459">
        <f t="shared" si="60"/>
        <v>160280</v>
      </c>
      <c r="J1961" s="460"/>
    </row>
    <row r="1962" spans="1:10" ht="93.75">
      <c r="A1962" s="1070" t="s">
        <v>814</v>
      </c>
      <c r="B1962" s="310" t="s">
        <v>1819</v>
      </c>
      <c r="C1962" s="456">
        <v>12000</v>
      </c>
      <c r="D1962" s="456"/>
      <c r="E1962" s="456">
        <v>12000</v>
      </c>
      <c r="F1962" s="370"/>
      <c r="G1962" s="370"/>
      <c r="H1962" s="459">
        <f t="shared" si="61"/>
        <v>0</v>
      </c>
      <c r="I1962" s="459">
        <f t="shared" si="60"/>
        <v>24000</v>
      </c>
      <c r="J1962" s="460" t="s">
        <v>1862</v>
      </c>
    </row>
    <row r="1963" spans="1:10" ht="131.25">
      <c r="A1963" s="1071"/>
      <c r="B1963" s="310" t="s">
        <v>1681</v>
      </c>
      <c r="C1963" s="455">
        <v>19720</v>
      </c>
      <c r="D1963" s="455"/>
      <c r="E1963" s="455">
        <v>19720</v>
      </c>
      <c r="F1963" s="370"/>
      <c r="G1963" s="370"/>
      <c r="H1963" s="459">
        <f t="shared" si="61"/>
        <v>0</v>
      </c>
      <c r="I1963" s="459">
        <f t="shared" si="60"/>
        <v>39440</v>
      </c>
      <c r="J1963" s="460" t="s">
        <v>1861</v>
      </c>
    </row>
    <row r="1964" spans="1:10">
      <c r="A1964" s="1073"/>
      <c r="B1964" s="467" t="s">
        <v>253</v>
      </c>
      <c r="C1964" s="466">
        <f>C1963+C1962</f>
        <v>31720</v>
      </c>
      <c r="D1964" s="466">
        <f>D1963+D1962</f>
        <v>0</v>
      </c>
      <c r="E1964" s="466">
        <f>E1963+E1962</f>
        <v>31720</v>
      </c>
      <c r="F1964" s="75"/>
      <c r="G1964" s="75"/>
      <c r="H1964" s="459">
        <f t="shared" si="61"/>
        <v>0</v>
      </c>
      <c r="I1964" s="459">
        <f t="shared" si="60"/>
        <v>63440</v>
      </c>
      <c r="J1964" s="460"/>
    </row>
    <row r="1965" spans="1:10" s="440" customFormat="1" ht="130.15" customHeight="1">
      <c r="A1965" s="1070" t="s">
        <v>3133</v>
      </c>
      <c r="B1965" s="486" t="s">
        <v>3185</v>
      </c>
      <c r="C1965" s="453">
        <v>60426</v>
      </c>
      <c r="D1965" s="453"/>
      <c r="E1965" s="453">
        <v>60426</v>
      </c>
      <c r="F1965" s="218"/>
      <c r="G1965" s="218"/>
      <c r="H1965" s="459">
        <f t="shared" ref="H1965:H1970" si="62">E1965+D1965-C1965</f>
        <v>0</v>
      </c>
      <c r="I1965" s="459">
        <f t="shared" si="60"/>
        <v>120852</v>
      </c>
    </row>
    <row r="1966" spans="1:10" s="440" customFormat="1" ht="125.45" customHeight="1">
      <c r="A1966" s="1071"/>
      <c r="B1966" s="486" t="s">
        <v>3134</v>
      </c>
      <c r="C1966" s="454">
        <v>84797</v>
      </c>
      <c r="D1966" s="454"/>
      <c r="E1966" s="454">
        <v>84797</v>
      </c>
      <c r="F1966" s="218"/>
      <c r="G1966" s="218"/>
      <c r="H1966" s="459">
        <f t="shared" si="62"/>
        <v>0</v>
      </c>
      <c r="I1966" s="459">
        <f t="shared" si="60"/>
        <v>169594</v>
      </c>
    </row>
    <row r="1967" spans="1:10">
      <c r="A1967" s="1073"/>
      <c r="B1967" s="467" t="s">
        <v>253</v>
      </c>
      <c r="C1967" s="466">
        <f>SUM(C1965:C1966)</f>
        <v>145223</v>
      </c>
      <c r="D1967" s="466">
        <f>SUM(D1965:D1966)</f>
        <v>0</v>
      </c>
      <c r="E1967" s="466">
        <f>SUM(E1965:E1966)</f>
        <v>145223</v>
      </c>
      <c r="F1967" s="75"/>
      <c r="G1967" s="75"/>
      <c r="H1967" s="459">
        <f t="shared" si="62"/>
        <v>0</v>
      </c>
      <c r="I1967" s="459">
        <f t="shared" si="60"/>
        <v>290446</v>
      </c>
      <c r="J1967" s="460"/>
    </row>
    <row r="1968" spans="1:10" s="5" customFormat="1" hidden="1">
      <c r="A1968" s="1086"/>
      <c r="B1968" s="244"/>
      <c r="C1968" s="383"/>
      <c r="D1968" s="383"/>
      <c r="E1968" s="383"/>
      <c r="F1968" s="75"/>
      <c r="G1968" s="75"/>
      <c r="H1968" s="136">
        <f t="shared" si="62"/>
        <v>0</v>
      </c>
      <c r="I1968" s="136">
        <f t="shared" si="60"/>
        <v>0</v>
      </c>
      <c r="J1968" s="73"/>
    </row>
    <row r="1969" spans="1:10" s="5" customFormat="1" hidden="1">
      <c r="A1969" s="1087"/>
      <c r="B1969" s="247" t="s">
        <v>253</v>
      </c>
      <c r="C1969" s="344">
        <f>C1968</f>
        <v>0</v>
      </c>
      <c r="D1969" s="344">
        <f>D1968</f>
        <v>0</v>
      </c>
      <c r="E1969" s="344">
        <f>E1968</f>
        <v>0</v>
      </c>
      <c r="F1969" s="75"/>
      <c r="G1969" s="75"/>
      <c r="H1969" s="136">
        <f t="shared" si="62"/>
        <v>0</v>
      </c>
      <c r="I1969" s="136">
        <f t="shared" si="60"/>
        <v>0</v>
      </c>
      <c r="J1969" s="73"/>
    </row>
    <row r="1970" spans="1:10" s="5" customFormat="1" hidden="1">
      <c r="A1970" s="1086"/>
      <c r="B1970" s="244"/>
      <c r="C1970" s="383"/>
      <c r="D1970" s="383"/>
      <c r="E1970" s="383"/>
      <c r="F1970" s="75"/>
      <c r="G1970" s="75"/>
      <c r="H1970" s="136">
        <f t="shared" si="62"/>
        <v>0</v>
      </c>
      <c r="I1970" s="136">
        <f t="shared" si="60"/>
        <v>0</v>
      </c>
      <c r="J1970" s="73"/>
    </row>
    <row r="1971" spans="1:10" s="5" customFormat="1" hidden="1">
      <c r="A1971" s="1087"/>
      <c r="B1971" s="247" t="s">
        <v>253</v>
      </c>
      <c r="C1971" s="344">
        <f>C1970</f>
        <v>0</v>
      </c>
      <c r="D1971" s="344">
        <f>D1970</f>
        <v>0</v>
      </c>
      <c r="E1971" s="344">
        <f>E1970</f>
        <v>0</v>
      </c>
      <c r="F1971" s="75"/>
      <c r="G1971" s="75"/>
      <c r="H1971" s="136">
        <f t="shared" ref="H1971:H1976" si="63">E1971+D1971-C1971</f>
        <v>0</v>
      </c>
      <c r="I1971" s="136">
        <f t="shared" si="60"/>
        <v>0</v>
      </c>
      <c r="J1971" s="73"/>
    </row>
    <row r="1972" spans="1:10" s="5" customFormat="1" hidden="1">
      <c r="A1972" s="1086"/>
      <c r="B1972" s="244"/>
      <c r="C1972" s="383"/>
      <c r="D1972" s="383"/>
      <c r="E1972" s="383"/>
      <c r="F1972" s="75"/>
      <c r="G1972" s="75"/>
      <c r="H1972" s="136">
        <f t="shared" si="63"/>
        <v>0</v>
      </c>
      <c r="I1972" s="136">
        <f t="shared" si="60"/>
        <v>0</v>
      </c>
      <c r="J1972" s="73"/>
    </row>
    <row r="1973" spans="1:10" s="5" customFormat="1" hidden="1">
      <c r="A1973" s="1087"/>
      <c r="B1973" s="247" t="s">
        <v>253</v>
      </c>
      <c r="C1973" s="344">
        <f>C1972</f>
        <v>0</v>
      </c>
      <c r="D1973" s="344">
        <f>D1972</f>
        <v>0</v>
      </c>
      <c r="E1973" s="344">
        <f>E1972</f>
        <v>0</v>
      </c>
      <c r="F1973" s="75"/>
      <c r="G1973" s="75"/>
      <c r="H1973" s="136">
        <f t="shared" si="63"/>
        <v>0</v>
      </c>
      <c r="I1973" s="136">
        <f t="shared" si="60"/>
        <v>0</v>
      </c>
      <c r="J1973" s="73"/>
    </row>
    <row r="1974" spans="1:10" s="5" customFormat="1" hidden="1">
      <c r="A1974" s="1086"/>
      <c r="B1974" s="244"/>
      <c r="C1974" s="383"/>
      <c r="D1974" s="383"/>
      <c r="E1974" s="383"/>
      <c r="F1974" s="75"/>
      <c r="G1974" s="75"/>
      <c r="H1974" s="136">
        <f t="shared" si="63"/>
        <v>0</v>
      </c>
      <c r="I1974" s="136">
        <f t="shared" si="60"/>
        <v>0</v>
      </c>
      <c r="J1974" s="73"/>
    </row>
    <row r="1975" spans="1:10" s="5" customFormat="1" hidden="1">
      <c r="A1975" s="1087"/>
      <c r="B1975" s="247" t="s">
        <v>253</v>
      </c>
      <c r="C1975" s="344">
        <f>C1974</f>
        <v>0</v>
      </c>
      <c r="D1975" s="344">
        <f>D1974</f>
        <v>0</v>
      </c>
      <c r="E1975" s="344">
        <f>E1974</f>
        <v>0</v>
      </c>
      <c r="F1975" s="75"/>
      <c r="G1975" s="75"/>
      <c r="H1975" s="136">
        <f t="shared" si="63"/>
        <v>0</v>
      </c>
      <c r="I1975" s="136">
        <f t="shared" si="60"/>
        <v>0</v>
      </c>
      <c r="J1975" s="73"/>
    </row>
    <row r="1976" spans="1:10" s="5" customFormat="1" hidden="1">
      <c r="A1976" s="1086"/>
      <c r="B1976" s="244"/>
      <c r="C1976" s="383"/>
      <c r="D1976" s="383"/>
      <c r="E1976" s="383"/>
      <c r="F1976" s="75"/>
      <c r="G1976" s="75"/>
      <c r="H1976" s="136">
        <f t="shared" si="63"/>
        <v>0</v>
      </c>
      <c r="I1976" s="136">
        <f t="shared" si="60"/>
        <v>0</v>
      </c>
      <c r="J1976" s="73"/>
    </row>
    <row r="1977" spans="1:10" s="5" customFormat="1" hidden="1">
      <c r="A1977" s="1087"/>
      <c r="B1977" s="247" t="s">
        <v>253</v>
      </c>
      <c r="C1977" s="344">
        <f>C1976</f>
        <v>0</v>
      </c>
      <c r="D1977" s="344">
        <f>D1976</f>
        <v>0</v>
      </c>
      <c r="E1977" s="344">
        <f>E1976</f>
        <v>0</v>
      </c>
      <c r="F1977" s="75"/>
      <c r="G1977" s="75"/>
      <c r="H1977" s="136">
        <f t="shared" si="61"/>
        <v>0</v>
      </c>
      <c r="I1977" s="136">
        <f t="shared" si="60"/>
        <v>0</v>
      </c>
      <c r="J1977" s="73"/>
    </row>
    <row r="1978" spans="1:10" s="5" customFormat="1" hidden="1">
      <c r="A1978" s="1086"/>
      <c r="B1978" s="244"/>
      <c r="C1978" s="383"/>
      <c r="D1978" s="383"/>
      <c r="E1978" s="383"/>
      <c r="F1978" s="75"/>
      <c r="G1978" s="75"/>
      <c r="H1978" s="136">
        <f t="shared" si="61"/>
        <v>0</v>
      </c>
      <c r="I1978" s="136">
        <f t="shared" si="60"/>
        <v>0</v>
      </c>
      <c r="J1978" s="73"/>
    </row>
    <row r="1979" spans="1:10" s="5" customFormat="1" hidden="1">
      <c r="A1979" s="1087"/>
      <c r="B1979" s="247" t="s">
        <v>253</v>
      </c>
      <c r="C1979" s="344">
        <f>C1978</f>
        <v>0</v>
      </c>
      <c r="D1979" s="344">
        <f>D1978</f>
        <v>0</v>
      </c>
      <c r="E1979" s="344">
        <f>E1978</f>
        <v>0</v>
      </c>
      <c r="F1979" s="75"/>
      <c r="G1979" s="75"/>
      <c r="H1979" s="136">
        <f t="shared" si="61"/>
        <v>0</v>
      </c>
      <c r="I1979" s="136">
        <f t="shared" si="60"/>
        <v>0</v>
      </c>
      <c r="J1979" s="73"/>
    </row>
    <row r="1980" spans="1:10" s="5" customFormat="1" hidden="1">
      <c r="A1980" s="1086"/>
      <c r="B1980" s="244"/>
      <c r="C1980" s="383"/>
      <c r="D1980" s="383"/>
      <c r="E1980" s="383"/>
      <c r="F1980" s="75"/>
      <c r="G1980" s="75"/>
      <c r="H1980" s="136">
        <f t="shared" si="61"/>
        <v>0</v>
      </c>
      <c r="I1980" s="136">
        <f t="shared" si="60"/>
        <v>0</v>
      </c>
      <c r="J1980" s="73"/>
    </row>
    <row r="1981" spans="1:10" s="5" customFormat="1" hidden="1">
      <c r="A1981" s="1087"/>
      <c r="B1981" s="247" t="s">
        <v>253</v>
      </c>
      <c r="C1981" s="344">
        <f>C1980</f>
        <v>0</v>
      </c>
      <c r="D1981" s="344">
        <f>D1980</f>
        <v>0</v>
      </c>
      <c r="E1981" s="344">
        <f>E1980</f>
        <v>0</v>
      </c>
      <c r="F1981" s="75"/>
      <c r="G1981" s="75"/>
      <c r="H1981" s="136">
        <f t="shared" si="61"/>
        <v>0</v>
      </c>
      <c r="I1981" s="136">
        <f t="shared" si="60"/>
        <v>0</v>
      </c>
      <c r="J1981" s="73"/>
    </row>
    <row r="1982" spans="1:10" s="5" customFormat="1" hidden="1">
      <c r="A1982" s="1086"/>
      <c r="B1982" s="244"/>
      <c r="C1982" s="383"/>
      <c r="D1982" s="383"/>
      <c r="E1982" s="383"/>
      <c r="F1982" s="75"/>
      <c r="G1982" s="75"/>
      <c r="H1982" s="136">
        <f t="shared" si="61"/>
        <v>0</v>
      </c>
      <c r="I1982" s="136">
        <f t="shared" si="60"/>
        <v>0</v>
      </c>
      <c r="J1982" s="73"/>
    </row>
    <row r="1983" spans="1:10" s="5" customFormat="1" hidden="1">
      <c r="A1983" s="1087"/>
      <c r="B1983" s="247" t="s">
        <v>253</v>
      </c>
      <c r="C1983" s="344">
        <f>C1982</f>
        <v>0</v>
      </c>
      <c r="D1983" s="344">
        <f>D1982</f>
        <v>0</v>
      </c>
      <c r="E1983" s="344">
        <f>E1982</f>
        <v>0</v>
      </c>
      <c r="F1983" s="75"/>
      <c r="G1983" s="75"/>
      <c r="H1983" s="136">
        <f t="shared" si="61"/>
        <v>0</v>
      </c>
      <c r="I1983" s="136">
        <f t="shared" si="60"/>
        <v>0</v>
      </c>
      <c r="J1983" s="73"/>
    </row>
    <row r="1984" spans="1:10" s="5" customFormat="1" hidden="1">
      <c r="A1984" s="1086"/>
      <c r="B1984" s="244"/>
      <c r="C1984" s="383"/>
      <c r="D1984" s="383"/>
      <c r="E1984" s="383"/>
      <c r="F1984" s="75"/>
      <c r="G1984" s="75"/>
      <c r="H1984" s="136">
        <f t="shared" si="61"/>
        <v>0</v>
      </c>
      <c r="I1984" s="136">
        <f t="shared" si="60"/>
        <v>0</v>
      </c>
      <c r="J1984" s="73"/>
    </row>
    <row r="1985" spans="1:10" s="5" customFormat="1" hidden="1">
      <c r="A1985" s="1087"/>
      <c r="B1985" s="247" t="s">
        <v>253</v>
      </c>
      <c r="C1985" s="344">
        <f>C1984</f>
        <v>0</v>
      </c>
      <c r="D1985" s="344">
        <f>D1984</f>
        <v>0</v>
      </c>
      <c r="E1985" s="344">
        <f>E1984</f>
        <v>0</v>
      </c>
      <c r="F1985" s="75"/>
      <c r="G1985" s="75"/>
      <c r="H1985" s="136">
        <f t="shared" si="61"/>
        <v>0</v>
      </c>
      <c r="I1985" s="136">
        <f t="shared" si="60"/>
        <v>0</v>
      </c>
      <c r="J1985" s="73"/>
    </row>
    <row r="1986" spans="1:10" s="5" customFormat="1" hidden="1">
      <c r="A1986" s="1086"/>
      <c r="B1986" s="244"/>
      <c r="C1986" s="383"/>
      <c r="D1986" s="383"/>
      <c r="E1986" s="383"/>
      <c r="F1986" s="75"/>
      <c r="G1986" s="75"/>
      <c r="H1986" s="136">
        <f t="shared" si="61"/>
        <v>0</v>
      </c>
      <c r="I1986" s="136">
        <f t="shared" si="60"/>
        <v>0</v>
      </c>
      <c r="J1986" s="73"/>
    </row>
    <row r="1987" spans="1:10" s="5" customFormat="1" hidden="1">
      <c r="A1987" s="1087"/>
      <c r="B1987" s="247" t="s">
        <v>253</v>
      </c>
      <c r="C1987" s="344">
        <f>C1986</f>
        <v>0</v>
      </c>
      <c r="D1987" s="344">
        <f>D1986</f>
        <v>0</v>
      </c>
      <c r="E1987" s="344">
        <f>E1986</f>
        <v>0</v>
      </c>
      <c r="F1987" s="75"/>
      <c r="G1987" s="75"/>
      <c r="H1987" s="136">
        <f t="shared" si="61"/>
        <v>0</v>
      </c>
      <c r="I1987" s="136">
        <f t="shared" si="60"/>
        <v>0</v>
      </c>
      <c r="J1987" s="73"/>
    </row>
    <row r="1988" spans="1:10" s="5" customFormat="1" hidden="1">
      <c r="A1988" s="1086"/>
      <c r="B1988" s="244"/>
      <c r="C1988" s="383"/>
      <c r="D1988" s="383"/>
      <c r="E1988" s="383"/>
      <c r="F1988" s="75"/>
      <c r="G1988" s="75"/>
      <c r="H1988" s="136">
        <f t="shared" si="61"/>
        <v>0</v>
      </c>
      <c r="I1988" s="136">
        <f t="shared" si="60"/>
        <v>0</v>
      </c>
      <c r="J1988" s="73"/>
    </row>
    <row r="1989" spans="1:10" s="5" customFormat="1" hidden="1">
      <c r="A1989" s="1087"/>
      <c r="B1989" s="247" t="s">
        <v>253</v>
      </c>
      <c r="C1989" s="344">
        <f>C1988</f>
        <v>0</v>
      </c>
      <c r="D1989" s="344">
        <f>D1988</f>
        <v>0</v>
      </c>
      <c r="E1989" s="344">
        <f>E1988</f>
        <v>0</v>
      </c>
      <c r="F1989" s="75"/>
      <c r="G1989" s="75"/>
      <c r="H1989" s="136">
        <f t="shared" si="61"/>
        <v>0</v>
      </c>
      <c r="I1989" s="136">
        <f t="shared" si="60"/>
        <v>0</v>
      </c>
      <c r="J1989" s="73"/>
    </row>
    <row r="1990" spans="1:10" s="5" customFormat="1" hidden="1">
      <c r="A1990" s="1086"/>
      <c r="B1990" s="244"/>
      <c r="C1990" s="383"/>
      <c r="D1990" s="383"/>
      <c r="E1990" s="383"/>
      <c r="F1990" s="75"/>
      <c r="G1990" s="75"/>
      <c r="H1990" s="136">
        <f t="shared" si="61"/>
        <v>0</v>
      </c>
      <c r="I1990" s="136">
        <f t="shared" si="60"/>
        <v>0</v>
      </c>
      <c r="J1990" s="73"/>
    </row>
    <row r="1991" spans="1:10" s="5" customFormat="1" hidden="1">
      <c r="A1991" s="1087"/>
      <c r="B1991" s="247" t="s">
        <v>253</v>
      </c>
      <c r="C1991" s="344">
        <f>C1990</f>
        <v>0</v>
      </c>
      <c r="D1991" s="344">
        <f>D1990</f>
        <v>0</v>
      </c>
      <c r="E1991" s="344">
        <f>E1990</f>
        <v>0</v>
      </c>
      <c r="F1991" s="75"/>
      <c r="G1991" s="75"/>
      <c r="H1991" s="136">
        <f t="shared" si="61"/>
        <v>0</v>
      </c>
      <c r="I1991" s="136">
        <f t="shared" si="60"/>
        <v>0</v>
      </c>
      <c r="J1991" s="73"/>
    </row>
    <row r="1992" spans="1:10" s="5" customFormat="1" hidden="1">
      <c r="A1992" s="341"/>
      <c r="B1992" s="342"/>
      <c r="C1992" s="383"/>
      <c r="D1992" s="383"/>
      <c r="E1992" s="383"/>
      <c r="F1992" s="75"/>
      <c r="G1992" s="75"/>
      <c r="H1992" s="136">
        <f t="shared" si="61"/>
        <v>0</v>
      </c>
      <c r="I1992" s="136">
        <f t="shared" si="60"/>
        <v>0</v>
      </c>
      <c r="J1992" s="73"/>
    </row>
    <row r="1993" spans="1:10" s="5" customFormat="1" hidden="1">
      <c r="A1993" s="341"/>
      <c r="B1993" s="342"/>
      <c r="C1993" s="383"/>
      <c r="D1993" s="383"/>
      <c r="E1993" s="383"/>
      <c r="F1993" s="75"/>
      <c r="G1993" s="75"/>
      <c r="H1993" s="136">
        <f>E1993+D1993-C1993</f>
        <v>0</v>
      </c>
      <c r="I1993" s="136">
        <f>SUM(C1993:E1993)</f>
        <v>0</v>
      </c>
      <c r="J1993" s="73"/>
    </row>
    <row r="1994" spans="1:10" s="5" customFormat="1" hidden="1">
      <c r="A1994" s="341"/>
      <c r="B1994" s="342"/>
      <c r="C1994" s="383"/>
      <c r="D1994" s="383"/>
      <c r="E1994" s="383"/>
      <c r="F1994" s="75"/>
      <c r="G1994" s="75"/>
      <c r="H1994" s="136">
        <f>E1994+D1994-C1994</f>
        <v>0</v>
      </c>
      <c r="I1994" s="136">
        <f>SUM(C1994:E1994)</f>
        <v>0</v>
      </c>
      <c r="J1994" s="73"/>
    </row>
    <row r="1995" spans="1:10" s="5" customFormat="1" hidden="1">
      <c r="A1995" s="341"/>
      <c r="B1995" s="342"/>
      <c r="C1995" s="383"/>
      <c r="D1995" s="383"/>
      <c r="E1995" s="383"/>
      <c r="F1995" s="75"/>
      <c r="G1995" s="75"/>
      <c r="H1995" s="136">
        <f>E1995+D1995-C1995</f>
        <v>0</v>
      </c>
      <c r="I1995" s="136">
        <f>SUM(C1995:E1995)</f>
        <v>0</v>
      </c>
      <c r="J1995" s="73"/>
    </row>
    <row r="1996" spans="1:10" s="5" customFormat="1" hidden="1">
      <c r="A1996" s="341"/>
      <c r="B1996" s="342"/>
      <c r="C1996" s="383"/>
      <c r="D1996" s="383"/>
      <c r="E1996" s="383"/>
      <c r="F1996" s="75"/>
      <c r="G1996" s="75"/>
      <c r="H1996" s="136">
        <f>E1996+D1996-C1996</f>
        <v>0</v>
      </c>
      <c r="I1996" s="136">
        <f>SUM(C1996:E1996)</f>
        <v>0</v>
      </c>
      <c r="J1996" s="73"/>
    </row>
    <row r="1997" spans="1:10">
      <c r="A1997" s="1075" t="s">
        <v>83</v>
      </c>
      <c r="B1997" s="1076"/>
      <c r="C1997" s="474">
        <f>C96+C125+C158+C201+C244+C297+C327+C372+C413+C446+C496+C535+C605+C627+C659+C703+C748+C786+C908+C943+C1022+C1051+C1088+C1136+C1215+C1265+C1292+C1341+C1366+C1413+C1461+C1509+C1557+C1605+C1653+C1701+C1749+C1797+C1801+C1811+C1815+C1821+C1824+C1827+C1830+C1835+C1838+C1842+C1846+C1853+C1861+C1864+C1868+C1870+C1872+C1874+C1879+C1881+C1883+C1885+C1891+C1896+C1898+C1901+C1903+C1906+C1909+C1912+C1915+C1919+C1921+C1924+C1927+C1929+C1932+C1935+C1938+C1941+C1946+C1949+C1953+C1955+C1958+C1961+C1964+C1967+C1969+C1971+C1973+C1975+C1977+C1979+C1981+C1983+C1985+C1987+C1989+C1991</f>
        <v>28006502</v>
      </c>
      <c r="D1997" s="474">
        <f>D96+D125+D158+D201+D244+D297+D327+D372+D413+D446+D496+D535+D605+D627+D659+D703+D748+D786+D908+D943+D1022+D1051+D1088+D1136+D1215+D1265+D1292+D1341+D1366+D1413+D1461+D1509+D1557+D1605+D1653+D1701+D1749+D1797+D1801+D1811+D1815+D1821+D1824+D1827+D1830+D1835+D1838+D1842+D1846+D1853+D1861+D1864+D1868+D1870+D1872+D1874+D1879+D1881+D1883+D1885+D1891+D1896+D1898+D1901+D1903+D1906+D1909+D1912+D1915+D1919+D1921+D1924+D1927+D1929+D1932+D1935+D1938+D1941+D1946+D1949+D1953+D1955+D1958+D1961+D1964+D1967+D1969+D1971+D1973+D1975+D1977+D1979+D1981+D1983+D1985+D1987+D1989+D1991</f>
        <v>1102160</v>
      </c>
      <c r="E1997" s="474">
        <f>E96+E125+E158+E201+E244+E297+E327+E372+E413+E446+E496+E535+E605+E627+E659+E703+E748+E786+E908+E943+E1022+E1051+E1088+E1136+E1215+E1265+E1292+E1341+E1366+E1413+E1461+E1509+E1557+E1605+E1653+E1701+E1749+E1797+E1801+E1811+E1815+E1821+E1824+E1827+E1830+E1835+E1838+E1842+E1846+E1853+E1861+E1864+E1868+E1870+E1872+E1874+E1879+E1881+E1883+E1885+E1891+E1896+E1898+E1901+E1903+E1906+E1909+E1912+E1915+E1919+E1921+E1924+E1927+E1929+E1932+E1935+E1938+E1941+E1946+E1949+E1953+E1955+E1958+E1961+E1964+E1967+E1969+E1971+E1973+E1975+E1977+E1979+E1981+E1983+E1985+E1987+E1989+E1991</f>
        <v>26904342</v>
      </c>
      <c r="F1997" s="311">
        <f>F96+F125+F158+F201+F244+F297+F327+F372+F413+F446+F496+F535+F605+F627+F659+F703+F748+F786+F908+F943+F1022+F1051+F1088+F1136+F1215+F1265+F1292+F1341+F1366+F1413+F1461+F1509+F1557+F1605+F1653+F1701+F1749+F1797+F1801+F1811+F1815+F1821+F1824+F1827+F1830+F1835+F1838+F1842+F1846+F1853+F1861+F1864+F1868+F1870+F1872+F1874+F1879+F1881+F1883+F1885+F1891+F1896+F1898+F1901+F1903+F1906+F1909+F1912+F1915+F1919+F1921+F1924+F1927+F1929+F1932+F1935+F1938+F1941+F1946+F1949+F1953+F1955+F1958+F1961+F1964+F1966+F1967+F1969+F1971+F1973+F1975+F1977+F1979+F1981+F1983+F1985+F1987+F1989+F1991</f>
        <v>0</v>
      </c>
      <c r="G1997" s="311">
        <f>G96+G125+G158+G201+G244+G297+G327+G372+G413+G446+G496+G535+G605+G627+G659+G703+G748+G786+G908+G943+G1022+G1051+G1088+G1136+G1215+G1265+G1292+G1341+G1366+G1413+G1461+G1509+G1557+G1605+G1653+G1701+G1749+G1797+G1801+G1811+G1815+G1821+G1824+G1827+G1830+G1835+G1838+G1842+G1846+G1853+G1861+G1864+G1868+G1870+G1872+G1874+G1879+G1881+G1883+G1885+G1891+G1896+G1898+G1901+G1903+G1906+G1909+G1912+G1915+G1919+G1921+G1924+G1927+G1929+G1932+G1935+G1938+G1941+G1946+G1949+G1953+G1955+G1958+G1961+G1964+G1966+G1967+G1969+G1971+G1973+G1975+G1977+G1979+G1981+G1983+G1985+G1987+G1989+G1991</f>
        <v>2943290.4</v>
      </c>
      <c r="H1997" s="459">
        <f>E1997+D1997-C1997</f>
        <v>0</v>
      </c>
      <c r="I1997" s="459">
        <f>SUM(C1997:E1997)</f>
        <v>56013004</v>
      </c>
      <c r="J1997" s="460"/>
    </row>
    <row r="1998" spans="1:10">
      <c r="A1998" s="487"/>
      <c r="B1998" s="487"/>
      <c r="C1998" s="488"/>
      <c r="D1998" s="488"/>
      <c r="E1998" s="488"/>
      <c r="F1998" s="411"/>
      <c r="G1998" s="411"/>
      <c r="H1998" s="459"/>
      <c r="I1998" s="459">
        <v>1</v>
      </c>
      <c r="J1998" s="460"/>
    </row>
    <row r="1999" spans="1:10">
      <c r="A1999" s="489" t="s">
        <v>271</v>
      </c>
      <c r="B1999" s="490"/>
      <c r="C1999" s="491"/>
      <c r="D1999" s="492"/>
      <c r="E1999" s="490" t="s">
        <v>272</v>
      </c>
      <c r="F1999" s="153"/>
      <c r="G1999" s="153"/>
      <c r="H1999" s="459" t="e">
        <f>E1999+D1999-C1999</f>
        <v>#VALUE!</v>
      </c>
      <c r="I1999" s="459">
        <v>1</v>
      </c>
    </row>
    <row r="2000" spans="1:10" hidden="1">
      <c r="E2000" s="480"/>
      <c r="F2000" s="221"/>
      <c r="H2000" s="459">
        <v>1</v>
      </c>
      <c r="I2000" s="459">
        <v>1</v>
      </c>
    </row>
    <row r="2001" spans="1:9" s="5" customFormat="1" hidden="1">
      <c r="A2001" s="154"/>
      <c r="B2001" s="251"/>
      <c r="C2001" s="240"/>
      <c r="D2001" s="240"/>
      <c r="E2001" s="240"/>
      <c r="F2001" s="153"/>
      <c r="G2001" s="153"/>
      <c r="H2001" s="136">
        <v>1</v>
      </c>
      <c r="I2001" s="136">
        <f>SUM(C2001:E2001)</f>
        <v>0</v>
      </c>
    </row>
    <row r="2002" spans="1:9" s="5" customFormat="1" hidden="1">
      <c r="A2002" s="152"/>
      <c r="B2002" s="242"/>
      <c r="C2002" s="241">
        <f>C1997-дод1!C142</f>
        <v>0</v>
      </c>
      <c r="D2002" s="241">
        <f>D1997-дод1!D142</f>
        <v>0</v>
      </c>
      <c r="E2002" s="151">
        <f>E1997-дод1!E142</f>
        <v>0</v>
      </c>
      <c r="F2002" s="55">
        <f>F1997-дод1!F142</f>
        <v>-26904342</v>
      </c>
      <c r="G2002" s="55">
        <f>G1997-дод1!G142</f>
        <v>-79974055.599999994</v>
      </c>
      <c r="H2002" s="136">
        <v>1</v>
      </c>
      <c r="I2002" s="136">
        <f>SUM(C2002:E2002)</f>
        <v>0</v>
      </c>
    </row>
    <row r="2003" spans="1:9" s="463" customFormat="1" hidden="1">
      <c r="A2003" s="494"/>
      <c r="B2003" s="495" t="s">
        <v>1738</v>
      </c>
      <c r="C2003" s="496">
        <f>дод1!C142</f>
        <v>28006502</v>
      </c>
      <c r="D2003" s="496">
        <f>дод1!D142</f>
        <v>1102160</v>
      </c>
      <c r="E2003" s="496">
        <f>дод1!E142</f>
        <v>26904342</v>
      </c>
      <c r="F2003" s="253">
        <f>дод1!F142</f>
        <v>26904342</v>
      </c>
      <c r="G2003" s="253">
        <f>дод1!G142</f>
        <v>82917346</v>
      </c>
      <c r="H2003" s="459">
        <v>1</v>
      </c>
      <c r="I2003" s="459">
        <f>SUM(C2003:E2003)</f>
        <v>56013004</v>
      </c>
    </row>
    <row r="2004" spans="1:9" s="5" customFormat="1" hidden="1">
      <c r="A2004" s="152"/>
      <c r="B2004" s="242" t="s">
        <v>1618</v>
      </c>
      <c r="C2004" s="345">
        <f>C1997-дод1!C142</f>
        <v>0</v>
      </c>
      <c r="D2004" s="345">
        <f>D1997-дод1!D142</f>
        <v>0</v>
      </c>
      <c r="E2004" s="345">
        <f>E1997-дод1!E142</f>
        <v>0</v>
      </c>
      <c r="F2004" s="55">
        <f>F1997-дод1!F142</f>
        <v>-26904342</v>
      </c>
      <c r="G2004" s="55">
        <f>G1997-дод1!G142</f>
        <v>-79974055.599999994</v>
      </c>
      <c r="H2004" s="136">
        <v>1</v>
      </c>
      <c r="I2004" s="136">
        <f>SUM(C2004:E2004)</f>
        <v>0</v>
      </c>
    </row>
    <row r="2005" spans="1:9" s="5" customFormat="1" hidden="1">
      <c r="C2005" s="242"/>
      <c r="D2005" s="242"/>
      <c r="E2005" s="242"/>
      <c r="H2005" s="5">
        <v>1</v>
      </c>
    </row>
    <row r="2006" spans="1:9" hidden="1">
      <c r="C2006" s="480">
        <f>SUBTOTAL(9,C9:C1931)</f>
        <v>51557318</v>
      </c>
      <c r="D2006" s="480">
        <f>SUBTOTAL(9,D9:D1931)</f>
        <v>2144320</v>
      </c>
      <c r="E2006" s="480">
        <f>SUBTOTAL(9,E9:E1931)</f>
        <v>49412998</v>
      </c>
      <c r="H2006" s="459">
        <v>1</v>
      </c>
      <c r="I2006" s="459">
        <f>SUM(C2006:E2006)</f>
        <v>103114636</v>
      </c>
    </row>
    <row r="2007" spans="1:9" hidden="1">
      <c r="C2007" s="497">
        <f>дод1!C142</f>
        <v>28006502</v>
      </c>
      <c r="D2007" s="497">
        <f>дод1!D142</f>
        <v>1102160</v>
      </c>
      <c r="E2007" s="497">
        <f>дод1!E142</f>
        <v>26904342</v>
      </c>
      <c r="H2007" s="459">
        <v>1</v>
      </c>
      <c r="I2007" s="459">
        <f>SUM(C2007:E2007)</f>
        <v>56013004</v>
      </c>
    </row>
    <row r="2008" spans="1:9" s="226" customFormat="1" hidden="1">
      <c r="A2008" s="152"/>
      <c r="B2008" s="242" t="s">
        <v>1618</v>
      </c>
      <c r="C2008" s="241">
        <f>C1997-C2007</f>
        <v>0</v>
      </c>
      <c r="D2008" s="241">
        <f>D1997-D2007</f>
        <v>0</v>
      </c>
      <c r="E2008" s="241">
        <f>E1997-E2007</f>
        <v>0</v>
      </c>
      <c r="F2008" s="241">
        <f>F2007-F2004</f>
        <v>26904342</v>
      </c>
      <c r="G2008" s="241">
        <f>G2007-G2004</f>
        <v>79974055.599999994</v>
      </c>
      <c r="H2008" s="136">
        <v>1</v>
      </c>
      <c r="I2008" s="136">
        <f>SUM(C2008:E2008)</f>
        <v>0</v>
      </c>
    </row>
    <row r="2009" spans="1:9" s="395" customFormat="1" hidden="1">
      <c r="A2009" s="222"/>
      <c r="B2009" s="252"/>
      <c r="C2009" s="253">
        <f>C2003-C2007</f>
        <v>0</v>
      </c>
      <c r="D2009" s="253">
        <f>D2003-D2007</f>
        <v>0</v>
      </c>
      <c r="E2009" s="253">
        <f>E2003-E2007</f>
        <v>0</v>
      </c>
      <c r="F2009" s="5"/>
      <c r="G2009" s="5"/>
    </row>
    <row r="2010" spans="1:9" s="5" customFormat="1" hidden="1">
      <c r="A2010" s="152"/>
      <c r="B2010" s="242"/>
      <c r="C2010" s="241"/>
      <c r="D2010" s="241"/>
      <c r="E2010" s="241"/>
    </row>
    <row r="2011" spans="1:9" s="5" customFormat="1" hidden="1">
      <c r="A2011" s="152"/>
      <c r="B2011" s="242"/>
      <c r="C2011" s="242"/>
      <c r="D2011" s="242"/>
      <c r="E2011" s="65"/>
    </row>
    <row r="2012" spans="1:9" ht="93.75" hidden="1">
      <c r="B2012" s="310" t="s">
        <v>1051</v>
      </c>
      <c r="C2012" s="498">
        <f>C1944+C1960</f>
        <v>295100</v>
      </c>
      <c r="D2012" s="498">
        <f>D1944+D1960</f>
        <v>0</v>
      </c>
      <c r="E2012" s="498">
        <f>E1944+E1960</f>
        <v>295100</v>
      </c>
      <c r="F2012" s="347">
        <f>F10+F1655+F1818+F1962</f>
        <v>0</v>
      </c>
      <c r="G2012" s="347">
        <f>G10+G1655+G1818+G1962</f>
        <v>0</v>
      </c>
      <c r="H2012" s="501">
        <f>C2012-E2012-D2012</f>
        <v>0</v>
      </c>
      <c r="I2012" s="302">
        <v>1</v>
      </c>
    </row>
    <row r="2013" spans="1:9" ht="131.25" hidden="1">
      <c r="B2013" s="310" t="s">
        <v>1681</v>
      </c>
      <c r="C2013" s="498">
        <f>-19720+2286+600</f>
        <v>-16834</v>
      </c>
      <c r="D2013" s="498"/>
      <c r="E2013" s="498">
        <f>-19720+2286+600</f>
        <v>-16834</v>
      </c>
      <c r="H2013" s="501">
        <f t="shared" ref="H2013:H2018" si="64">C2013-E2013-D2013</f>
        <v>0</v>
      </c>
      <c r="I2013" s="302">
        <v>1</v>
      </c>
    </row>
    <row r="2014" spans="1:9" ht="37.5" hidden="1">
      <c r="B2014" s="310" t="s">
        <v>1053</v>
      </c>
      <c r="C2014" s="498">
        <f>C661-220000</f>
        <v>320000</v>
      </c>
      <c r="D2014" s="498"/>
      <c r="E2014" s="498">
        <f>E661-220000</f>
        <v>320000</v>
      </c>
      <c r="F2014" s="347">
        <f>F661-220000</f>
        <v>-220000</v>
      </c>
      <c r="G2014" s="347">
        <f>G661-220000</f>
        <v>-220000</v>
      </c>
      <c r="H2014" s="501">
        <f t="shared" si="64"/>
        <v>0</v>
      </c>
      <c r="I2014" s="302">
        <v>1</v>
      </c>
    </row>
    <row r="2015" spans="1:9" ht="131.25" hidden="1">
      <c r="B2015" s="376" t="s">
        <v>2534</v>
      </c>
      <c r="C2015" s="498">
        <f>C539</f>
        <v>12000</v>
      </c>
      <c r="D2015" s="498">
        <f>D539</f>
        <v>0</v>
      </c>
      <c r="E2015" s="498">
        <f>E539</f>
        <v>12000</v>
      </c>
      <c r="H2015" s="501">
        <f t="shared" si="64"/>
        <v>0</v>
      </c>
      <c r="I2015" s="302">
        <v>1</v>
      </c>
    </row>
    <row r="2016" spans="1:9" ht="75" hidden="1">
      <c r="B2016" s="484" t="s">
        <v>1728</v>
      </c>
      <c r="C2016" s="498"/>
      <c r="D2016" s="498"/>
      <c r="E2016" s="498"/>
      <c r="H2016" s="501">
        <f t="shared" si="64"/>
        <v>0</v>
      </c>
      <c r="I2016" s="302">
        <v>1</v>
      </c>
    </row>
    <row r="2017" spans="2:9" hidden="1">
      <c r="B2017" s="484" t="s">
        <v>1737</v>
      </c>
      <c r="C2017" s="499"/>
      <c r="D2017" s="499"/>
      <c r="E2017" s="500"/>
      <c r="H2017" s="501">
        <f t="shared" si="64"/>
        <v>0</v>
      </c>
      <c r="I2017" s="302">
        <v>1</v>
      </c>
    </row>
    <row r="2018" spans="2:9" hidden="1">
      <c r="B2018" s="499" t="s">
        <v>83</v>
      </c>
      <c r="C2018" s="499">
        <f>SUBTOTAL(9,C2012:C2017)</f>
        <v>0</v>
      </c>
      <c r="D2018" s="499">
        <f>SUBTOTAL(9,D2012:D2017)</f>
        <v>0</v>
      </c>
      <c r="E2018" s="499">
        <f>SUBTOTAL(9,E2012:E2017)</f>
        <v>0</v>
      </c>
      <c r="F2018" s="348">
        <f>SUBTOTAL(9,F2012:F2016)</f>
        <v>0</v>
      </c>
      <c r="G2018" s="348">
        <f>SUBTOTAL(9,G2012:G2016)</f>
        <v>0</v>
      </c>
      <c r="H2018" s="501">
        <f t="shared" si="64"/>
        <v>0</v>
      </c>
      <c r="I2018" s="302">
        <v>1</v>
      </c>
    </row>
    <row r="2019" spans="2:9" hidden="1">
      <c r="I2019" s="302">
        <v>1</v>
      </c>
    </row>
  </sheetData>
  <autoFilter ref="I1:I2019">
    <filterColumn colId="0">
      <customFilters and="1">
        <customFilter operator="greaterThan" val="0"/>
      </customFilters>
    </filterColumn>
  </autoFilter>
  <mergeCells count="100">
    <mergeCell ref="A1982:A1983"/>
    <mergeCell ref="A1984:A1985"/>
    <mergeCell ref="A1986:A1987"/>
    <mergeCell ref="A1988:A1989"/>
    <mergeCell ref="A1990:A1991"/>
    <mergeCell ref="A1970:A1971"/>
    <mergeCell ref="A1972:A1973"/>
    <mergeCell ref="A1974:A1975"/>
    <mergeCell ref="A1976:A1977"/>
    <mergeCell ref="A1978:A1979"/>
    <mergeCell ref="A1980:A1981"/>
    <mergeCell ref="A1942:A1946"/>
    <mergeCell ref="A1959:A1961"/>
    <mergeCell ref="A1968:A1969"/>
    <mergeCell ref="A1962:A1964"/>
    <mergeCell ref="A1965:A1967"/>
    <mergeCell ref="A1930:A1932"/>
    <mergeCell ref="A1933:A1935"/>
    <mergeCell ref="A1956:A1958"/>
    <mergeCell ref="A1936:A1938"/>
    <mergeCell ref="A1939:A1941"/>
    <mergeCell ref="A1947:A1949"/>
    <mergeCell ref="A1950:A1953"/>
    <mergeCell ref="A1954:A1955"/>
    <mergeCell ref="A1920:A1921"/>
    <mergeCell ref="A1922:A1924"/>
    <mergeCell ref="A1925:A1927"/>
    <mergeCell ref="A1928:A1929"/>
    <mergeCell ref="A1904:A1906"/>
    <mergeCell ref="A1907:A1909"/>
    <mergeCell ref="A1910:A1912"/>
    <mergeCell ref="A1913:A1915"/>
    <mergeCell ref="A1916:A1919"/>
    <mergeCell ref="A1899:A1901"/>
    <mergeCell ref="A1902:A1903"/>
    <mergeCell ref="A1897:A1898"/>
    <mergeCell ref="A1892:A1896"/>
    <mergeCell ref="A1293:A1341"/>
    <mergeCell ref="A1816:A1821"/>
    <mergeCell ref="A1812:A1815"/>
    <mergeCell ref="A1606:A1653"/>
    <mergeCell ref="A1886:A1891"/>
    <mergeCell ref="A1831:A1835"/>
    <mergeCell ref="A606:A627"/>
    <mergeCell ref="A4:F4"/>
    <mergeCell ref="A8:A96"/>
    <mergeCell ref="A97:A125"/>
    <mergeCell ref="A126:A158"/>
    <mergeCell ref="A159:A201"/>
    <mergeCell ref="A202:A244"/>
    <mergeCell ref="A1702:A1749"/>
    <mergeCell ref="A1089:A1136"/>
    <mergeCell ref="A1342:A1366"/>
    <mergeCell ref="A1266:A1292"/>
    <mergeCell ref="A1216:A1265"/>
    <mergeCell ref="A909:A943"/>
    <mergeCell ref="A944:A1022"/>
    <mergeCell ref="A1137:A1215"/>
    <mergeCell ref="A1052:A1088"/>
    <mergeCell ref="A1367:A1413"/>
    <mergeCell ref="A749:A786"/>
    <mergeCell ref="A1558:A1605"/>
    <mergeCell ref="A373:A413"/>
    <mergeCell ref="A328:A372"/>
    <mergeCell ref="A245:A297"/>
    <mergeCell ref="A298:A327"/>
    <mergeCell ref="A414:A446"/>
    <mergeCell ref="A497:A535"/>
    <mergeCell ref="A447:A496"/>
    <mergeCell ref="A536:A605"/>
    <mergeCell ref="A1997:B1997"/>
    <mergeCell ref="A1865:A1868"/>
    <mergeCell ref="A1843:A1846"/>
    <mergeCell ref="A1854:A1861"/>
    <mergeCell ref="A1847:A1853"/>
    <mergeCell ref="A628:A659"/>
    <mergeCell ref="A704:A748"/>
    <mergeCell ref="A1023:A1051"/>
    <mergeCell ref="A1802:A1811"/>
    <mergeCell ref="A660:A703"/>
    <mergeCell ref="A1750:A1797"/>
    <mergeCell ref="A1654:A1701"/>
    <mergeCell ref="A1462:A1509"/>
    <mergeCell ref="A1510:A1557"/>
    <mergeCell ref="A1884:A1885"/>
    <mergeCell ref="A1882:A1883"/>
    <mergeCell ref="A1871:A1872"/>
    <mergeCell ref="A1862:A1864"/>
    <mergeCell ref="A1875:A1879"/>
    <mergeCell ref="A1873:A1874"/>
    <mergeCell ref="A1869:A1870"/>
    <mergeCell ref="A1414:A1461"/>
    <mergeCell ref="A1822:A1824"/>
    <mergeCell ref="A1880:A1881"/>
    <mergeCell ref="A787:A908"/>
    <mergeCell ref="A1825:A1827"/>
    <mergeCell ref="A1828:A1830"/>
    <mergeCell ref="A1836:A1838"/>
    <mergeCell ref="A1839:A1842"/>
    <mergeCell ref="A1798:A1801"/>
  </mergeCells>
  <phoneticPr fontId="0" type="noConversion"/>
  <printOptions horizontalCentered="1"/>
  <pageMargins left="0.39370078740157483" right="0" top="7.874015748031496E-2" bottom="0" header="0" footer="0"/>
  <pageSetup paperSize="9" scale="5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Q124"/>
  <sheetViews>
    <sheetView view="pageBreakPreview" zoomScale="75" zoomScaleNormal="65" zoomScaleSheetLayoutView="75" workbookViewId="0">
      <pane xSplit="2" ySplit="7" topLeftCell="C109" activePane="bottomRight" state="frozen"/>
      <selection pane="topRight" activeCell="C1" sqref="C1"/>
      <selection pane="bottomLeft" activeCell="A8" sqref="A8"/>
      <selection pane="bottomRight" activeCell="H1" sqref="H1:Q65536"/>
    </sheetView>
  </sheetViews>
  <sheetFormatPr defaultRowHeight="18.75"/>
  <cols>
    <col min="1" max="1" width="26.85546875" style="493" customWidth="1"/>
    <col min="2" max="2" width="44.42578125" style="480" customWidth="1"/>
    <col min="3" max="3" width="20.7109375" style="480" customWidth="1"/>
    <col min="4" max="4" width="22.5703125" style="480" customWidth="1"/>
    <col min="5" max="5" width="21.5703125" style="440" customWidth="1"/>
    <col min="6" max="6" width="16.85546875" style="302" hidden="1" customWidth="1"/>
    <col min="7" max="7" width="13.7109375" style="302" hidden="1" customWidth="1"/>
    <col min="8" max="8" width="16.42578125" style="302" hidden="1" customWidth="1"/>
    <col min="9" max="9" width="17.140625" style="302" hidden="1" customWidth="1"/>
    <col min="10" max="17" width="0" style="302" hidden="1" customWidth="1"/>
    <col min="18" max="16384" width="9.140625" style="302"/>
  </cols>
  <sheetData>
    <row r="1" spans="1:43" s="458" customFormat="1" ht="20.25" customHeight="1">
      <c r="A1" s="437"/>
      <c r="B1" s="438"/>
      <c r="C1" s="438"/>
      <c r="D1" s="439" t="s">
        <v>1682</v>
      </c>
      <c r="E1" s="440"/>
      <c r="G1" s="502"/>
      <c r="H1" s="457"/>
      <c r="I1" s="457">
        <v>1</v>
      </c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457"/>
      <c r="AC1" s="457"/>
      <c r="AD1" s="457"/>
      <c r="AE1" s="457"/>
      <c r="AF1" s="457"/>
      <c r="AG1" s="457"/>
      <c r="AH1" s="457"/>
      <c r="AI1" s="457"/>
      <c r="AJ1" s="457"/>
      <c r="AK1" s="457"/>
      <c r="AL1" s="457"/>
      <c r="AM1" s="457"/>
      <c r="AN1" s="457"/>
      <c r="AO1" s="457"/>
      <c r="AP1" s="457"/>
      <c r="AQ1" s="457"/>
    </row>
    <row r="2" spans="1:43" s="458" customFormat="1" ht="18" customHeight="1">
      <c r="A2" s="441"/>
      <c r="B2" s="442"/>
      <c r="C2" s="442"/>
      <c r="D2" s="439" t="s">
        <v>476</v>
      </c>
      <c r="E2" s="440"/>
      <c r="G2" s="502"/>
      <c r="H2" s="457"/>
      <c r="I2" s="457">
        <v>1</v>
      </c>
      <c r="J2" s="457"/>
      <c r="K2" s="457"/>
      <c r="L2" s="503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  <c r="AQ2" s="457"/>
    </row>
    <row r="3" spans="1:43" s="458" customFormat="1" ht="18" customHeight="1">
      <c r="A3" s="441"/>
      <c r="B3" s="442"/>
      <c r="C3" s="442"/>
      <c r="D3" s="439" t="s">
        <v>3247</v>
      </c>
      <c r="E3" s="440"/>
      <c r="G3" s="502"/>
      <c r="H3" s="457"/>
      <c r="I3" s="457">
        <v>1</v>
      </c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  <c r="W3" s="457"/>
      <c r="X3" s="457"/>
      <c r="Y3" s="457"/>
      <c r="Z3" s="457"/>
      <c r="AA3" s="457"/>
      <c r="AB3" s="457"/>
      <c r="AC3" s="457"/>
      <c r="AD3" s="457"/>
      <c r="AE3" s="457"/>
      <c r="AF3" s="457"/>
      <c r="AG3" s="457"/>
      <c r="AH3" s="457"/>
      <c r="AI3" s="457"/>
      <c r="AJ3" s="457"/>
      <c r="AK3" s="457"/>
      <c r="AL3" s="457"/>
      <c r="AM3" s="457"/>
      <c r="AN3" s="457"/>
      <c r="AO3" s="457"/>
      <c r="AP3" s="457"/>
      <c r="AQ3" s="457"/>
    </row>
    <row r="4" spans="1:43" s="458" customFormat="1" ht="37.5" customHeight="1">
      <c r="A4" s="1083" t="s">
        <v>1683</v>
      </c>
      <c r="B4" s="1083"/>
      <c r="C4" s="1083"/>
      <c r="D4" s="1083"/>
      <c r="E4" s="1084"/>
      <c r="F4" s="1083"/>
      <c r="G4" s="504"/>
      <c r="H4" s="457"/>
      <c r="I4" s="457">
        <v>1</v>
      </c>
      <c r="J4" s="460" t="s">
        <v>1861</v>
      </c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57"/>
      <c r="W4" s="457"/>
      <c r="X4" s="457"/>
      <c r="Y4" s="457"/>
      <c r="Z4" s="457"/>
      <c r="AA4" s="457"/>
      <c r="AB4" s="457"/>
      <c r="AC4" s="457"/>
      <c r="AD4" s="457"/>
      <c r="AE4" s="457"/>
      <c r="AF4" s="457"/>
      <c r="AG4" s="457"/>
      <c r="AH4" s="457"/>
      <c r="AI4" s="457"/>
      <c r="AJ4" s="457"/>
      <c r="AK4" s="457"/>
      <c r="AL4" s="457"/>
      <c r="AM4" s="457"/>
      <c r="AN4" s="457"/>
      <c r="AO4" s="457"/>
      <c r="AP4" s="457"/>
      <c r="AQ4" s="457"/>
    </row>
    <row r="5" spans="1:43" ht="16.5" customHeight="1">
      <c r="A5" s="443"/>
      <c r="B5" s="444"/>
      <c r="C5" s="444"/>
      <c r="D5" s="444"/>
      <c r="E5" s="445" t="s">
        <v>383</v>
      </c>
      <c r="F5" s="505"/>
      <c r="G5" s="506"/>
      <c r="I5" s="302">
        <v>1</v>
      </c>
    </row>
    <row r="6" spans="1:43" ht="54.75" customHeight="1">
      <c r="A6" s="450" t="s">
        <v>117</v>
      </c>
      <c r="B6" s="479" t="s">
        <v>105</v>
      </c>
      <c r="C6" s="479" t="s">
        <v>302</v>
      </c>
      <c r="D6" s="448" t="s">
        <v>180</v>
      </c>
      <c r="E6" s="449" t="s">
        <v>181</v>
      </c>
      <c r="F6" s="505"/>
      <c r="G6" s="506"/>
      <c r="I6" s="302">
        <v>1</v>
      </c>
    </row>
    <row r="7" spans="1:43" ht="18" customHeight="1">
      <c r="A7" s="450">
        <v>1</v>
      </c>
      <c r="B7" s="479">
        <v>2</v>
      </c>
      <c r="C7" s="479">
        <v>3</v>
      </c>
      <c r="D7" s="448">
        <v>4</v>
      </c>
      <c r="E7" s="449">
        <v>5</v>
      </c>
      <c r="F7" s="505"/>
      <c r="G7" s="506"/>
      <c r="I7" s="302">
        <v>1</v>
      </c>
    </row>
    <row r="8" spans="1:43" ht="75">
      <c r="A8" s="1070" t="s">
        <v>805</v>
      </c>
      <c r="B8" s="507" t="s">
        <v>1684</v>
      </c>
      <c r="C8" s="455">
        <v>10000</v>
      </c>
      <c r="D8" s="455"/>
      <c r="E8" s="455">
        <v>10000</v>
      </c>
      <c r="F8" s="509"/>
      <c r="G8" s="509"/>
      <c r="H8" s="459">
        <f>E8+D8-C8</f>
        <v>0</v>
      </c>
      <c r="I8" s="459">
        <f>SUM(C8:E8)</f>
        <v>20000</v>
      </c>
      <c r="J8" s="460"/>
    </row>
    <row r="9" spans="1:43" ht="93.75">
      <c r="A9" s="1071"/>
      <c r="B9" s="507" t="s">
        <v>1685</v>
      </c>
      <c r="C9" s="455">
        <v>3480000</v>
      </c>
      <c r="D9" s="455"/>
      <c r="E9" s="455">
        <v>3480000</v>
      </c>
      <c r="F9" s="509"/>
      <c r="G9" s="509"/>
      <c r="H9" s="459">
        <f t="shared" ref="H9:H62" si="0">E9+D9-C9</f>
        <v>0</v>
      </c>
      <c r="I9" s="459">
        <f t="shared" ref="I9:I72" si="1">SUM(C9:E9)</f>
        <v>6960000</v>
      </c>
      <c r="J9" s="460"/>
    </row>
    <row r="10" spans="1:43" ht="75">
      <c r="A10" s="1071"/>
      <c r="B10" s="507" t="s">
        <v>2531</v>
      </c>
      <c r="C10" s="455">
        <v>720000</v>
      </c>
      <c r="D10" s="455"/>
      <c r="E10" s="455">
        <v>720000</v>
      </c>
      <c r="F10" s="509"/>
      <c r="G10" s="509"/>
      <c r="H10" s="459">
        <f t="shared" si="0"/>
        <v>0</v>
      </c>
      <c r="I10" s="459">
        <f t="shared" si="1"/>
        <v>1440000</v>
      </c>
      <c r="J10" s="460"/>
    </row>
    <row r="11" spans="1:43">
      <c r="A11" s="1073"/>
      <c r="B11" s="467" t="s">
        <v>253</v>
      </c>
      <c r="C11" s="466">
        <f>SUM(C8:C10)</f>
        <v>4210000</v>
      </c>
      <c r="D11" s="466">
        <f>SUM(D8:D10)</f>
        <v>0</v>
      </c>
      <c r="E11" s="466">
        <f>SUM(E8:E10)</f>
        <v>4210000</v>
      </c>
      <c r="F11" s="509"/>
      <c r="G11" s="509"/>
      <c r="H11" s="459">
        <f t="shared" si="0"/>
        <v>0</v>
      </c>
      <c r="I11" s="459">
        <f t="shared" si="1"/>
        <v>8420000</v>
      </c>
      <c r="J11" s="460"/>
    </row>
    <row r="12" spans="1:43" ht="75">
      <c r="A12" s="1070" t="s">
        <v>1686</v>
      </c>
      <c r="B12" s="507" t="s">
        <v>1684</v>
      </c>
      <c r="C12" s="455">
        <v>790354</v>
      </c>
      <c r="D12" s="455"/>
      <c r="E12" s="455">
        <v>790354</v>
      </c>
      <c r="F12" s="509"/>
      <c r="G12" s="509"/>
      <c r="H12" s="459">
        <f t="shared" si="0"/>
        <v>0</v>
      </c>
      <c r="I12" s="459">
        <f t="shared" si="1"/>
        <v>1580708</v>
      </c>
      <c r="J12" s="460"/>
    </row>
    <row r="13" spans="1:43" hidden="1">
      <c r="A13" s="1071"/>
      <c r="B13" s="507"/>
      <c r="C13" s="455"/>
      <c r="D13" s="455"/>
      <c r="E13" s="455"/>
      <c r="F13" s="509"/>
      <c r="G13" s="509"/>
      <c r="H13" s="459">
        <f t="shared" si="0"/>
        <v>0</v>
      </c>
      <c r="I13" s="459">
        <f t="shared" si="1"/>
        <v>0</v>
      </c>
      <c r="J13" s="460"/>
    </row>
    <row r="14" spans="1:43">
      <c r="A14" s="1073"/>
      <c r="B14" s="467" t="s">
        <v>253</v>
      </c>
      <c r="C14" s="466">
        <f>C12</f>
        <v>790354</v>
      </c>
      <c r="D14" s="466">
        <f>D12</f>
        <v>0</v>
      </c>
      <c r="E14" s="466">
        <f>E12</f>
        <v>790354</v>
      </c>
      <c r="F14" s="509"/>
      <c r="G14" s="509"/>
      <c r="H14" s="459">
        <f t="shared" si="0"/>
        <v>0</v>
      </c>
      <c r="I14" s="459">
        <f t="shared" si="1"/>
        <v>1580708</v>
      </c>
      <c r="J14" s="460"/>
    </row>
    <row r="15" spans="1:43" ht="187.5">
      <c r="A15" s="1070" t="s">
        <v>1063</v>
      </c>
      <c r="B15" s="376" t="s">
        <v>1726</v>
      </c>
      <c r="C15" s="476">
        <v>500000</v>
      </c>
      <c r="D15" s="476"/>
      <c r="E15" s="469">
        <v>500000</v>
      </c>
      <c r="F15" s="509"/>
      <c r="G15" s="509"/>
      <c r="H15" s="459">
        <f t="shared" si="0"/>
        <v>0</v>
      </c>
      <c r="I15" s="459">
        <f t="shared" si="1"/>
        <v>1000000</v>
      </c>
      <c r="J15" s="460"/>
    </row>
    <row r="16" spans="1:43">
      <c r="A16" s="1073"/>
      <c r="B16" s="467" t="s">
        <v>253</v>
      </c>
      <c r="C16" s="466">
        <f>C15</f>
        <v>500000</v>
      </c>
      <c r="D16" s="466">
        <f>D15</f>
        <v>0</v>
      </c>
      <c r="E16" s="466">
        <f>E15</f>
        <v>500000</v>
      </c>
      <c r="F16" s="509"/>
      <c r="G16" s="509"/>
      <c r="H16" s="459">
        <f t="shared" si="0"/>
        <v>0</v>
      </c>
      <c r="I16" s="459">
        <f t="shared" si="1"/>
        <v>1000000</v>
      </c>
      <c r="J16" s="460"/>
    </row>
    <row r="17" spans="1:10" ht="187.5">
      <c r="A17" s="1070" t="s">
        <v>330</v>
      </c>
      <c r="B17" s="376" t="s">
        <v>1727</v>
      </c>
      <c r="C17" s="476">
        <v>500000</v>
      </c>
      <c r="D17" s="476"/>
      <c r="E17" s="469">
        <v>500000</v>
      </c>
      <c r="F17" s="509"/>
      <c r="G17" s="509"/>
      <c r="H17" s="459">
        <f t="shared" si="0"/>
        <v>0</v>
      </c>
      <c r="I17" s="459">
        <f t="shared" si="1"/>
        <v>1000000</v>
      </c>
      <c r="J17" s="460"/>
    </row>
    <row r="18" spans="1:10">
      <c r="A18" s="1073"/>
      <c r="B18" s="467" t="s">
        <v>253</v>
      </c>
      <c r="C18" s="466">
        <f>C17</f>
        <v>500000</v>
      </c>
      <c r="D18" s="466">
        <f>D17</f>
        <v>0</v>
      </c>
      <c r="E18" s="466">
        <f>E17</f>
        <v>500000</v>
      </c>
      <c r="F18" s="509"/>
      <c r="G18" s="509"/>
      <c r="H18" s="459">
        <f t="shared" si="0"/>
        <v>0</v>
      </c>
      <c r="I18" s="459">
        <f t="shared" si="1"/>
        <v>1000000</v>
      </c>
      <c r="J18" s="460"/>
    </row>
    <row r="19" spans="1:10" ht="131.25">
      <c r="A19" s="1068" t="s">
        <v>411</v>
      </c>
      <c r="B19" s="376" t="s">
        <v>1662</v>
      </c>
      <c r="C19" s="455">
        <v>500000</v>
      </c>
      <c r="D19" s="455"/>
      <c r="E19" s="455">
        <v>500000</v>
      </c>
      <c r="F19" s="459">
        <v>0</v>
      </c>
      <c r="G19" s="459">
        <v>0</v>
      </c>
      <c r="H19" s="459">
        <f t="shared" si="0"/>
        <v>0</v>
      </c>
      <c r="I19" s="459">
        <f t="shared" si="1"/>
        <v>1000000</v>
      </c>
      <c r="J19" s="460"/>
    </row>
    <row r="20" spans="1:10" ht="281.25">
      <c r="A20" s="1068"/>
      <c r="B20" s="376" t="s">
        <v>1676</v>
      </c>
      <c r="C20" s="455">
        <v>2400000</v>
      </c>
      <c r="D20" s="455"/>
      <c r="E20" s="455">
        <v>2400000</v>
      </c>
      <c r="F20" s="459">
        <v>0</v>
      </c>
      <c r="G20" s="459">
        <v>0</v>
      </c>
      <c r="H20" s="459">
        <f t="shared" si="0"/>
        <v>0</v>
      </c>
      <c r="I20" s="459">
        <f t="shared" si="1"/>
        <v>4800000</v>
      </c>
      <c r="J20" s="460"/>
    </row>
    <row r="21" spans="1:10" ht="112.5">
      <c r="A21" s="1068"/>
      <c r="B21" s="376" t="s">
        <v>2426</v>
      </c>
      <c r="C21" s="455">
        <v>125558</v>
      </c>
      <c r="D21" s="455"/>
      <c r="E21" s="455">
        <v>125558</v>
      </c>
      <c r="F21" s="459"/>
      <c r="G21" s="459"/>
      <c r="H21" s="459">
        <f t="shared" si="0"/>
        <v>0</v>
      </c>
      <c r="I21" s="459">
        <f t="shared" si="1"/>
        <v>251116</v>
      </c>
      <c r="J21" s="460"/>
    </row>
    <row r="22" spans="1:10" ht="112.5">
      <c r="A22" s="1068"/>
      <c r="B22" s="376" t="s">
        <v>2425</v>
      </c>
      <c r="C22" s="455">
        <v>285477</v>
      </c>
      <c r="D22" s="455"/>
      <c r="E22" s="455">
        <v>285477</v>
      </c>
      <c r="F22" s="459"/>
      <c r="G22" s="459"/>
      <c r="H22" s="459">
        <f t="shared" si="0"/>
        <v>0</v>
      </c>
      <c r="I22" s="459">
        <f t="shared" si="1"/>
        <v>570954</v>
      </c>
      <c r="J22" s="460"/>
    </row>
    <row r="23" spans="1:10">
      <c r="A23" s="1068"/>
      <c r="B23" s="467" t="s">
        <v>253</v>
      </c>
      <c r="C23" s="474">
        <f>SUBTOTAL(9,C19:C22)</f>
        <v>3311035</v>
      </c>
      <c r="D23" s="474">
        <f>SUBTOTAL(9,D19:D22)</f>
        <v>0</v>
      </c>
      <c r="E23" s="474">
        <f>SUBTOTAL(9,E19:E22)</f>
        <v>3311035</v>
      </c>
      <c r="F23" s="459">
        <v>0</v>
      </c>
      <c r="G23" s="459">
        <v>66800</v>
      </c>
      <c r="H23" s="459">
        <f t="shared" si="0"/>
        <v>0</v>
      </c>
      <c r="I23" s="459">
        <f t="shared" si="1"/>
        <v>6622070</v>
      </c>
      <c r="J23" s="460"/>
    </row>
    <row r="24" spans="1:10" ht="56.25">
      <c r="A24" s="1068" t="s">
        <v>50</v>
      </c>
      <c r="B24" s="376" t="s">
        <v>1067</v>
      </c>
      <c r="C24" s="476">
        <f>800000+200000</f>
        <v>1000000</v>
      </c>
      <c r="D24" s="476"/>
      <c r="E24" s="469">
        <f>800000+200000</f>
        <v>1000000</v>
      </c>
      <c r="F24" s="509"/>
      <c r="G24" s="509"/>
      <c r="H24" s="459">
        <f t="shared" si="0"/>
        <v>0</v>
      </c>
      <c r="I24" s="459">
        <f t="shared" si="1"/>
        <v>2000000</v>
      </c>
      <c r="J24" s="460"/>
    </row>
    <row r="25" spans="1:10" hidden="1">
      <c r="A25" s="1068"/>
      <c r="B25" s="376"/>
      <c r="C25" s="476"/>
      <c r="D25" s="476"/>
      <c r="E25" s="469"/>
      <c r="F25" s="509"/>
      <c r="G25" s="509"/>
      <c r="H25" s="459">
        <f t="shared" si="0"/>
        <v>0</v>
      </c>
      <c r="I25" s="459">
        <f t="shared" si="1"/>
        <v>0</v>
      </c>
      <c r="J25" s="460"/>
    </row>
    <row r="26" spans="1:10" hidden="1">
      <c r="A26" s="1068"/>
      <c r="B26" s="376"/>
      <c r="C26" s="455"/>
      <c r="D26" s="455"/>
      <c r="E26" s="455"/>
      <c r="F26" s="509"/>
      <c r="G26" s="509"/>
      <c r="H26" s="459">
        <f t="shared" si="0"/>
        <v>0</v>
      </c>
      <c r="I26" s="459">
        <f t="shared" si="1"/>
        <v>0</v>
      </c>
      <c r="J26" s="460"/>
    </row>
    <row r="27" spans="1:10">
      <c r="A27" s="1068"/>
      <c r="B27" s="467" t="s">
        <v>253</v>
      </c>
      <c r="C27" s="474">
        <f>SUM(C24:C26)</f>
        <v>1000000</v>
      </c>
      <c r="D27" s="474">
        <f>SUM(D24:D26)</f>
        <v>0</v>
      </c>
      <c r="E27" s="462">
        <f>SUM(E24:E26)</f>
        <v>1000000</v>
      </c>
      <c r="F27" s="509"/>
      <c r="G27" s="509"/>
      <c r="H27" s="459">
        <f t="shared" si="0"/>
        <v>0</v>
      </c>
      <c r="I27" s="459">
        <f t="shared" si="1"/>
        <v>2000000</v>
      </c>
      <c r="J27" s="460"/>
    </row>
    <row r="28" spans="1:10" ht="37.5">
      <c r="A28" s="1070" t="s">
        <v>1700</v>
      </c>
      <c r="B28" s="376" t="s">
        <v>1708</v>
      </c>
      <c r="C28" s="476">
        <v>192541</v>
      </c>
      <c r="D28" s="476"/>
      <c r="E28" s="469">
        <v>192541</v>
      </c>
      <c r="F28" s="509"/>
      <c r="G28" s="509"/>
      <c r="H28" s="459">
        <f t="shared" si="0"/>
        <v>0</v>
      </c>
      <c r="I28" s="459">
        <f t="shared" si="1"/>
        <v>385082</v>
      </c>
      <c r="J28" s="460"/>
    </row>
    <row r="29" spans="1:10">
      <c r="A29" s="1073"/>
      <c r="B29" s="467" t="s">
        <v>253</v>
      </c>
      <c r="C29" s="466">
        <f>C28</f>
        <v>192541</v>
      </c>
      <c r="D29" s="466">
        <f>D28</f>
        <v>0</v>
      </c>
      <c r="E29" s="466">
        <f>E28</f>
        <v>192541</v>
      </c>
      <c r="F29" s="509"/>
      <c r="G29" s="509"/>
      <c r="H29" s="459">
        <f t="shared" si="0"/>
        <v>0</v>
      </c>
      <c r="I29" s="459">
        <f t="shared" si="1"/>
        <v>385082</v>
      </c>
      <c r="J29" s="460"/>
    </row>
    <row r="30" spans="1:10" ht="37.5">
      <c r="A30" s="1070" t="s">
        <v>103</v>
      </c>
      <c r="B30" s="376" t="s">
        <v>1703</v>
      </c>
      <c r="C30" s="476">
        <f>450000+251586</f>
        <v>701586</v>
      </c>
      <c r="D30" s="476"/>
      <c r="E30" s="469">
        <f>450000+251586</f>
        <v>701586</v>
      </c>
      <c r="F30" s="509"/>
      <c r="G30" s="509"/>
      <c r="H30" s="459">
        <f t="shared" si="0"/>
        <v>0</v>
      </c>
      <c r="I30" s="459">
        <f t="shared" si="1"/>
        <v>1403172</v>
      </c>
      <c r="J30" s="460"/>
    </row>
    <row r="31" spans="1:10">
      <c r="A31" s="1073"/>
      <c r="B31" s="467" t="s">
        <v>253</v>
      </c>
      <c r="C31" s="466">
        <f>C30</f>
        <v>701586</v>
      </c>
      <c r="D31" s="466">
        <f>D30</f>
        <v>0</v>
      </c>
      <c r="E31" s="466">
        <f>E30</f>
        <v>701586</v>
      </c>
      <c r="F31" s="509"/>
      <c r="G31" s="509"/>
      <c r="H31" s="459">
        <f t="shared" si="0"/>
        <v>0</v>
      </c>
      <c r="I31" s="459">
        <f t="shared" si="1"/>
        <v>1403172</v>
      </c>
      <c r="J31" s="460"/>
    </row>
    <row r="32" spans="1:10" ht="75" hidden="1">
      <c r="A32" s="1070" t="s">
        <v>128</v>
      </c>
      <c r="B32" s="376" t="s">
        <v>1056</v>
      </c>
      <c r="C32" s="471">
        <f>1805558-1805558</f>
        <v>0</v>
      </c>
      <c r="D32" s="471"/>
      <c r="E32" s="452">
        <f>1805558-1805558</f>
        <v>0</v>
      </c>
      <c r="F32" s="514"/>
      <c r="G32" s="514"/>
      <c r="H32" s="459">
        <f t="shared" si="0"/>
        <v>0</v>
      </c>
      <c r="I32" s="459">
        <f t="shared" si="1"/>
        <v>0</v>
      </c>
      <c r="J32" s="460"/>
    </row>
    <row r="33" spans="1:10" ht="112.5">
      <c r="A33" s="1071"/>
      <c r="B33" s="376" t="s">
        <v>1854</v>
      </c>
      <c r="C33" s="471">
        <v>1109958</v>
      </c>
      <c r="D33" s="471"/>
      <c r="E33" s="452">
        <v>1109958</v>
      </c>
      <c r="F33" s="514"/>
      <c r="G33" s="514"/>
      <c r="H33" s="459">
        <f t="shared" si="0"/>
        <v>0</v>
      </c>
      <c r="I33" s="459">
        <f t="shared" si="1"/>
        <v>2219916</v>
      </c>
      <c r="J33" s="460"/>
    </row>
    <row r="34" spans="1:10" ht="75">
      <c r="A34" s="1071"/>
      <c r="B34" s="376" t="s">
        <v>1057</v>
      </c>
      <c r="C34" s="471">
        <f>1000000</f>
        <v>1000000</v>
      </c>
      <c r="D34" s="471"/>
      <c r="E34" s="452">
        <v>1000000</v>
      </c>
      <c r="F34" s="514"/>
      <c r="G34" s="514"/>
      <c r="H34" s="459">
        <f t="shared" si="0"/>
        <v>0</v>
      </c>
      <c r="I34" s="459">
        <f t="shared" si="1"/>
        <v>2000000</v>
      </c>
      <c r="J34" s="460"/>
    </row>
    <row r="35" spans="1:10">
      <c r="A35" s="1073"/>
      <c r="B35" s="467" t="s">
        <v>253</v>
      </c>
      <c r="C35" s="466">
        <f>SUM(C32:C34)</f>
        <v>2109958</v>
      </c>
      <c r="D35" s="466">
        <f>SUM(D32:D34)</f>
        <v>0</v>
      </c>
      <c r="E35" s="466">
        <f>SUM(E32:E34)</f>
        <v>2109958</v>
      </c>
      <c r="F35" s="509"/>
      <c r="G35" s="509"/>
      <c r="H35" s="459">
        <f t="shared" si="0"/>
        <v>0</v>
      </c>
      <c r="I35" s="459">
        <f t="shared" si="1"/>
        <v>4219916</v>
      </c>
      <c r="J35" s="460"/>
    </row>
    <row r="36" spans="1:10" ht="112.5">
      <c r="A36" s="1070" t="s">
        <v>366</v>
      </c>
      <c r="B36" s="376" t="s">
        <v>1704</v>
      </c>
      <c r="C36" s="471">
        <f>1200000-400000</f>
        <v>800000</v>
      </c>
      <c r="D36" s="471"/>
      <c r="E36" s="452">
        <f>1200000-400000</f>
        <v>800000</v>
      </c>
      <c r="F36" s="509"/>
      <c r="G36" s="509"/>
      <c r="H36" s="459">
        <f t="shared" si="0"/>
        <v>0</v>
      </c>
      <c r="I36" s="459">
        <f t="shared" si="1"/>
        <v>1600000</v>
      </c>
      <c r="J36" s="460"/>
    </row>
    <row r="37" spans="1:10">
      <c r="A37" s="1073"/>
      <c r="B37" s="467" t="s">
        <v>253</v>
      </c>
      <c r="C37" s="466">
        <f>C36</f>
        <v>800000</v>
      </c>
      <c r="D37" s="466">
        <f>D36</f>
        <v>0</v>
      </c>
      <c r="E37" s="466">
        <f>E36</f>
        <v>800000</v>
      </c>
      <c r="F37" s="509"/>
      <c r="G37" s="509"/>
      <c r="H37" s="459">
        <f t="shared" si="0"/>
        <v>0</v>
      </c>
      <c r="I37" s="459">
        <f t="shared" si="1"/>
        <v>1600000</v>
      </c>
      <c r="J37" s="460"/>
    </row>
    <row r="38" spans="1:10" ht="75">
      <c r="A38" s="1070" t="s">
        <v>454</v>
      </c>
      <c r="B38" s="376" t="s">
        <v>1723</v>
      </c>
      <c r="C38" s="455">
        <v>100000</v>
      </c>
      <c r="D38" s="456"/>
      <c r="E38" s="456">
        <v>100000</v>
      </c>
      <c r="F38" s="509"/>
      <c r="G38" s="509"/>
      <c r="H38" s="459">
        <f t="shared" si="0"/>
        <v>0</v>
      </c>
      <c r="I38" s="459">
        <f t="shared" si="1"/>
        <v>200000</v>
      </c>
      <c r="J38" s="460"/>
    </row>
    <row r="39" spans="1:10">
      <c r="A39" s="1073"/>
      <c r="B39" s="467" t="s">
        <v>253</v>
      </c>
      <c r="C39" s="466">
        <f>C38</f>
        <v>100000</v>
      </c>
      <c r="D39" s="466">
        <f>D38</f>
        <v>0</v>
      </c>
      <c r="E39" s="466">
        <f>E38</f>
        <v>100000</v>
      </c>
      <c r="F39" s="509"/>
      <c r="G39" s="509"/>
      <c r="H39" s="459">
        <f t="shared" si="0"/>
        <v>0</v>
      </c>
      <c r="I39" s="459">
        <f t="shared" si="1"/>
        <v>200000</v>
      </c>
      <c r="J39" s="460"/>
    </row>
    <row r="40" spans="1:10" ht="75">
      <c r="A40" s="1070" t="s">
        <v>46</v>
      </c>
      <c r="B40" s="376" t="s">
        <v>1705</v>
      </c>
      <c r="C40" s="471">
        <f>2689969-1200000</f>
        <v>1489969</v>
      </c>
      <c r="D40" s="471"/>
      <c r="E40" s="452">
        <f>2689969-1200000</f>
        <v>1489969</v>
      </c>
      <c r="F40" s="509"/>
      <c r="G40" s="509"/>
      <c r="H40" s="459">
        <f t="shared" si="0"/>
        <v>0</v>
      </c>
      <c r="I40" s="459">
        <f t="shared" si="1"/>
        <v>2979938</v>
      </c>
      <c r="J40" s="460"/>
    </row>
    <row r="41" spans="1:10">
      <c r="A41" s="1073"/>
      <c r="B41" s="467" t="s">
        <v>253</v>
      </c>
      <c r="C41" s="466">
        <f>C40</f>
        <v>1489969</v>
      </c>
      <c r="D41" s="466">
        <f>D40</f>
        <v>0</v>
      </c>
      <c r="E41" s="466">
        <f>E40</f>
        <v>1489969</v>
      </c>
      <c r="F41" s="509"/>
      <c r="G41" s="509"/>
      <c r="H41" s="459">
        <f t="shared" si="0"/>
        <v>0</v>
      </c>
      <c r="I41" s="459">
        <f t="shared" si="1"/>
        <v>2979938</v>
      </c>
      <c r="J41" s="460"/>
    </row>
    <row r="42" spans="1:10" ht="75">
      <c r="A42" s="1070" t="s">
        <v>294</v>
      </c>
      <c r="B42" s="310" t="s">
        <v>1065</v>
      </c>
      <c r="C42" s="469">
        <v>2047000</v>
      </c>
      <c r="D42" s="469"/>
      <c r="E42" s="469">
        <v>2047000</v>
      </c>
      <c r="F42" s="501"/>
      <c r="G42" s="501"/>
      <c r="H42" s="459">
        <f t="shared" si="0"/>
        <v>0</v>
      </c>
      <c r="I42" s="459">
        <f t="shared" si="1"/>
        <v>4094000</v>
      </c>
      <c r="J42" s="460"/>
    </row>
    <row r="43" spans="1:10">
      <c r="A43" s="1073"/>
      <c r="B43" s="467" t="s">
        <v>253</v>
      </c>
      <c r="C43" s="466">
        <f>C42</f>
        <v>2047000</v>
      </c>
      <c r="D43" s="466">
        <f>D42</f>
        <v>0</v>
      </c>
      <c r="E43" s="466">
        <f>E42</f>
        <v>2047000</v>
      </c>
      <c r="F43" s="509"/>
      <c r="G43" s="509"/>
      <c r="H43" s="459">
        <f t="shared" si="0"/>
        <v>0</v>
      </c>
      <c r="I43" s="459">
        <f t="shared" si="1"/>
        <v>4094000</v>
      </c>
      <c r="J43" s="460"/>
    </row>
    <row r="44" spans="1:10" ht="150">
      <c r="A44" s="1070" t="s">
        <v>133</v>
      </c>
      <c r="B44" s="310" t="s">
        <v>1731</v>
      </c>
      <c r="C44" s="469">
        <v>620444</v>
      </c>
      <c r="D44" s="469"/>
      <c r="E44" s="469">
        <v>620444</v>
      </c>
      <c r="F44" s="509"/>
      <c r="G44" s="509"/>
      <c r="H44" s="459">
        <f t="shared" si="0"/>
        <v>0</v>
      </c>
      <c r="I44" s="459">
        <f t="shared" si="1"/>
        <v>1240888</v>
      </c>
      <c r="J44" s="460"/>
    </row>
    <row r="45" spans="1:10" ht="112.5">
      <c r="A45" s="1071"/>
      <c r="B45" s="310" t="s">
        <v>2421</v>
      </c>
      <c r="C45" s="469">
        <v>74308</v>
      </c>
      <c r="D45" s="469"/>
      <c r="E45" s="469">
        <v>74308</v>
      </c>
      <c r="F45" s="509"/>
      <c r="G45" s="509"/>
      <c r="H45" s="459">
        <f t="shared" si="0"/>
        <v>0</v>
      </c>
      <c r="I45" s="459">
        <f t="shared" si="1"/>
        <v>148616</v>
      </c>
      <c r="J45" s="460"/>
    </row>
    <row r="46" spans="1:10" ht="112.5">
      <c r="A46" s="1071"/>
      <c r="B46" s="310" t="s">
        <v>2422</v>
      </c>
      <c r="C46" s="469">
        <v>81478</v>
      </c>
      <c r="D46" s="469"/>
      <c r="E46" s="469">
        <v>81478</v>
      </c>
      <c r="F46" s="509"/>
      <c r="G46" s="509"/>
      <c r="H46" s="459">
        <f t="shared" si="0"/>
        <v>0</v>
      </c>
      <c r="I46" s="459">
        <f t="shared" si="1"/>
        <v>162956</v>
      </c>
      <c r="J46" s="460"/>
    </row>
    <row r="47" spans="1:10" ht="112.5">
      <c r="A47" s="1071"/>
      <c r="B47" s="310" t="s">
        <v>2423</v>
      </c>
      <c r="C47" s="469">
        <v>104052</v>
      </c>
      <c r="D47" s="469"/>
      <c r="E47" s="469">
        <v>104052</v>
      </c>
      <c r="F47" s="509"/>
      <c r="G47" s="509"/>
      <c r="H47" s="459">
        <f t="shared" si="0"/>
        <v>0</v>
      </c>
      <c r="I47" s="459">
        <f t="shared" si="1"/>
        <v>208104</v>
      </c>
      <c r="J47" s="460"/>
    </row>
    <row r="48" spans="1:10" ht="75" hidden="1">
      <c r="A48" s="1071"/>
      <c r="B48" s="310" t="s">
        <v>2424</v>
      </c>
      <c r="C48" s="469">
        <f>249865-249865</f>
        <v>0</v>
      </c>
      <c r="D48" s="469"/>
      <c r="E48" s="469">
        <f>249865-249865</f>
        <v>0</v>
      </c>
      <c r="F48" s="509"/>
      <c r="G48" s="509"/>
      <c r="H48" s="459">
        <f t="shared" si="0"/>
        <v>0</v>
      </c>
      <c r="I48" s="459">
        <f t="shared" si="1"/>
        <v>0</v>
      </c>
      <c r="J48" s="460"/>
    </row>
    <row r="49" spans="1:10" ht="93.75">
      <c r="A49" s="1071"/>
      <c r="B49" s="310" t="s">
        <v>2638</v>
      </c>
      <c r="C49" s="469">
        <v>400000</v>
      </c>
      <c r="D49" s="469"/>
      <c r="E49" s="469">
        <v>400000</v>
      </c>
      <c r="F49" s="509"/>
      <c r="G49" s="509"/>
      <c r="H49" s="459">
        <f t="shared" si="0"/>
        <v>0</v>
      </c>
      <c r="I49" s="459">
        <f t="shared" si="1"/>
        <v>800000</v>
      </c>
      <c r="J49" s="460"/>
    </row>
    <row r="50" spans="1:10" hidden="1">
      <c r="A50" s="1071"/>
      <c r="B50" s="310"/>
      <c r="C50" s="469"/>
      <c r="D50" s="469"/>
      <c r="E50" s="469"/>
      <c r="F50" s="509"/>
      <c r="G50" s="509"/>
      <c r="H50" s="459">
        <f t="shared" si="0"/>
        <v>0</v>
      </c>
      <c r="I50" s="459">
        <f t="shared" si="1"/>
        <v>0</v>
      </c>
      <c r="J50" s="460"/>
    </row>
    <row r="51" spans="1:10" hidden="1">
      <c r="A51" s="1071"/>
      <c r="B51" s="310"/>
      <c r="C51" s="469"/>
      <c r="D51" s="469"/>
      <c r="E51" s="469"/>
      <c r="F51" s="509"/>
      <c r="G51" s="509"/>
      <c r="H51" s="459">
        <f t="shared" si="0"/>
        <v>0</v>
      </c>
      <c r="I51" s="459">
        <f t="shared" si="1"/>
        <v>0</v>
      </c>
      <c r="J51" s="460"/>
    </row>
    <row r="52" spans="1:10" hidden="1">
      <c r="A52" s="1071"/>
      <c r="B52" s="310"/>
      <c r="C52" s="469"/>
      <c r="D52" s="469"/>
      <c r="E52" s="469"/>
      <c r="F52" s="509"/>
      <c r="G52" s="509"/>
      <c r="H52" s="459">
        <f t="shared" si="0"/>
        <v>0</v>
      </c>
      <c r="I52" s="459">
        <f t="shared" si="1"/>
        <v>0</v>
      </c>
      <c r="J52" s="460"/>
    </row>
    <row r="53" spans="1:10" hidden="1">
      <c r="A53" s="1071"/>
      <c r="B53" s="310"/>
      <c r="C53" s="469"/>
      <c r="D53" s="469"/>
      <c r="E53" s="469"/>
      <c r="F53" s="509"/>
      <c r="G53" s="509"/>
      <c r="H53" s="459">
        <f t="shared" si="0"/>
        <v>0</v>
      </c>
      <c r="I53" s="459">
        <f t="shared" si="1"/>
        <v>0</v>
      </c>
      <c r="J53" s="460"/>
    </row>
    <row r="54" spans="1:10" hidden="1">
      <c r="A54" s="1071"/>
      <c r="B54" s="310"/>
      <c r="C54" s="469"/>
      <c r="D54" s="469"/>
      <c r="E54" s="469"/>
      <c r="F54" s="509"/>
      <c r="G54" s="509"/>
      <c r="H54" s="459">
        <f t="shared" si="0"/>
        <v>0</v>
      </c>
      <c r="I54" s="459">
        <f t="shared" si="1"/>
        <v>0</v>
      </c>
      <c r="J54" s="460"/>
    </row>
    <row r="55" spans="1:10" hidden="1">
      <c r="A55" s="1071"/>
      <c r="B55" s="310"/>
      <c r="C55" s="469"/>
      <c r="D55" s="469"/>
      <c r="E55" s="469"/>
      <c r="F55" s="509"/>
      <c r="G55" s="509"/>
      <c r="H55" s="459">
        <f t="shared" si="0"/>
        <v>0</v>
      </c>
      <c r="I55" s="459">
        <f t="shared" si="1"/>
        <v>0</v>
      </c>
      <c r="J55" s="460"/>
    </row>
    <row r="56" spans="1:10" hidden="1">
      <c r="A56" s="1071"/>
      <c r="B56" s="310"/>
      <c r="C56" s="469"/>
      <c r="D56" s="469"/>
      <c r="E56" s="469"/>
      <c r="F56" s="509"/>
      <c r="G56" s="509"/>
      <c r="H56" s="459">
        <f t="shared" si="0"/>
        <v>0</v>
      </c>
      <c r="I56" s="459">
        <f t="shared" si="1"/>
        <v>0</v>
      </c>
      <c r="J56" s="460"/>
    </row>
    <row r="57" spans="1:10" hidden="1">
      <c r="A57" s="1071"/>
      <c r="B57" s="310"/>
      <c r="C57" s="469"/>
      <c r="D57" s="469"/>
      <c r="E57" s="469"/>
      <c r="F57" s="509"/>
      <c r="G57" s="509"/>
      <c r="H57" s="459">
        <f t="shared" si="0"/>
        <v>0</v>
      </c>
      <c r="I57" s="459">
        <f t="shared" si="1"/>
        <v>0</v>
      </c>
      <c r="J57" s="460"/>
    </row>
    <row r="58" spans="1:10" hidden="1">
      <c r="A58" s="1071"/>
      <c r="B58" s="310"/>
      <c r="C58" s="469"/>
      <c r="D58" s="469"/>
      <c r="E58" s="469"/>
      <c r="F58" s="509"/>
      <c r="G58" s="509"/>
      <c r="H58" s="459">
        <f t="shared" si="0"/>
        <v>0</v>
      </c>
      <c r="I58" s="459">
        <f t="shared" si="1"/>
        <v>0</v>
      </c>
      <c r="J58" s="460"/>
    </row>
    <row r="59" spans="1:10" hidden="1">
      <c r="A59" s="1071"/>
      <c r="B59" s="310"/>
      <c r="C59" s="469"/>
      <c r="D59" s="469"/>
      <c r="E59" s="469"/>
      <c r="F59" s="509"/>
      <c r="G59" s="509"/>
      <c r="H59" s="459">
        <f t="shared" si="0"/>
        <v>0</v>
      </c>
      <c r="I59" s="459">
        <f t="shared" si="1"/>
        <v>0</v>
      </c>
      <c r="J59" s="460"/>
    </row>
    <row r="60" spans="1:10">
      <c r="A60" s="1073"/>
      <c r="B60" s="467" t="s">
        <v>253</v>
      </c>
      <c r="C60" s="466">
        <f>SUBTOTAL(9,C44:C59)</f>
        <v>1280282</v>
      </c>
      <c r="D60" s="466">
        <f>SUBTOTAL(9,D44:D59)</f>
        <v>0</v>
      </c>
      <c r="E60" s="466">
        <f>SUBTOTAL(9,E44:E59)</f>
        <v>1280282</v>
      </c>
      <c r="F60" s="509"/>
      <c r="G60" s="509"/>
      <c r="H60" s="459">
        <f t="shared" si="0"/>
        <v>0</v>
      </c>
      <c r="I60" s="459">
        <f t="shared" si="1"/>
        <v>2560564</v>
      </c>
      <c r="J60" s="460"/>
    </row>
    <row r="61" spans="1:10" ht="93.75">
      <c r="A61" s="1070" t="s">
        <v>279</v>
      </c>
      <c r="B61" s="310" t="s">
        <v>1732</v>
      </c>
      <c r="C61" s="530">
        <v>1476249.03</v>
      </c>
      <c r="D61" s="530"/>
      <c r="E61" s="530">
        <v>1476249.03</v>
      </c>
      <c r="F61" s="509"/>
      <c r="G61" s="509"/>
      <c r="H61" s="459">
        <f t="shared" si="0"/>
        <v>0</v>
      </c>
      <c r="I61" s="459">
        <f t="shared" si="1"/>
        <v>2952498.06</v>
      </c>
      <c r="J61" s="460"/>
    </row>
    <row r="62" spans="1:10" ht="139.9" customHeight="1">
      <c r="A62" s="1071"/>
      <c r="B62" s="310" t="s">
        <v>3108</v>
      </c>
      <c r="C62" s="530">
        <f>50000+50000</f>
        <v>100000</v>
      </c>
      <c r="D62" s="530"/>
      <c r="E62" s="530">
        <f>50000+50000</f>
        <v>100000</v>
      </c>
      <c r="F62" s="509"/>
      <c r="G62" s="509"/>
      <c r="H62" s="459">
        <f t="shared" si="0"/>
        <v>0</v>
      </c>
      <c r="I62" s="459">
        <f t="shared" si="1"/>
        <v>200000</v>
      </c>
      <c r="J62" s="460"/>
    </row>
    <row r="63" spans="1:10" ht="93.75">
      <c r="A63" s="1071"/>
      <c r="B63" s="310" t="s">
        <v>3109</v>
      </c>
      <c r="C63" s="530">
        <v>274174</v>
      </c>
      <c r="D63" s="530"/>
      <c r="E63" s="530">
        <v>274174</v>
      </c>
      <c r="F63" s="509"/>
      <c r="G63" s="509"/>
      <c r="H63" s="459">
        <f t="shared" ref="H63:H79" si="2">E63+D63-C63</f>
        <v>0</v>
      </c>
      <c r="I63" s="459">
        <f t="shared" si="1"/>
        <v>548348</v>
      </c>
      <c r="J63" s="460"/>
    </row>
    <row r="64" spans="1:10" ht="112.5">
      <c r="A64" s="1071"/>
      <c r="B64" s="310" t="s">
        <v>3110</v>
      </c>
      <c r="C64" s="530">
        <v>720000</v>
      </c>
      <c r="D64" s="530"/>
      <c r="E64" s="530">
        <v>720000</v>
      </c>
      <c r="F64" s="509"/>
      <c r="G64" s="509"/>
      <c r="H64" s="459">
        <f t="shared" si="2"/>
        <v>0</v>
      </c>
      <c r="I64" s="459">
        <f t="shared" si="1"/>
        <v>1440000</v>
      </c>
      <c r="J64" s="460"/>
    </row>
    <row r="65" spans="1:10" hidden="1">
      <c r="A65" s="1071"/>
      <c r="B65" s="310"/>
      <c r="C65" s="530"/>
      <c r="D65" s="530"/>
      <c r="E65" s="530"/>
      <c r="F65" s="509"/>
      <c r="G65" s="509"/>
      <c r="H65" s="459">
        <f t="shared" si="2"/>
        <v>0</v>
      </c>
      <c r="I65" s="459">
        <f t="shared" si="1"/>
        <v>0</v>
      </c>
      <c r="J65" s="460"/>
    </row>
    <row r="66" spans="1:10">
      <c r="A66" s="1073"/>
      <c r="B66" s="467" t="s">
        <v>253</v>
      </c>
      <c r="C66" s="531">
        <f>C61+C62+C63+C64</f>
        <v>2570423.0300000003</v>
      </c>
      <c r="D66" s="531">
        <f>D61+D62+D63+D64</f>
        <v>0</v>
      </c>
      <c r="E66" s="531">
        <f>E61+E62+E63+E64</f>
        <v>2570423.0300000003</v>
      </c>
      <c r="F66" s="509"/>
      <c r="G66" s="509"/>
      <c r="H66" s="459">
        <f t="shared" si="2"/>
        <v>0</v>
      </c>
      <c r="I66" s="459">
        <f t="shared" si="1"/>
        <v>5140846.0600000005</v>
      </c>
      <c r="J66" s="460"/>
    </row>
    <row r="67" spans="1:10" ht="93.75">
      <c r="A67" s="1070" t="s">
        <v>313</v>
      </c>
      <c r="B67" s="376" t="s">
        <v>1835</v>
      </c>
      <c r="C67" s="471">
        <v>100000</v>
      </c>
      <c r="D67" s="471"/>
      <c r="E67" s="452">
        <v>100000</v>
      </c>
      <c r="F67" s="509"/>
      <c r="G67" s="509"/>
      <c r="H67" s="459">
        <f t="shared" si="2"/>
        <v>0</v>
      </c>
      <c r="I67" s="459">
        <f t="shared" si="1"/>
        <v>200000</v>
      </c>
      <c r="J67" s="460"/>
    </row>
    <row r="68" spans="1:10">
      <c r="A68" s="1073"/>
      <c r="B68" s="467" t="s">
        <v>253</v>
      </c>
      <c r="C68" s="466">
        <f>C67</f>
        <v>100000</v>
      </c>
      <c r="D68" s="466">
        <f>D67</f>
        <v>0</v>
      </c>
      <c r="E68" s="466">
        <f>E67</f>
        <v>100000</v>
      </c>
      <c r="F68" s="509"/>
      <c r="G68" s="509"/>
      <c r="H68" s="459">
        <f t="shared" si="2"/>
        <v>0</v>
      </c>
      <c r="I68" s="459">
        <f t="shared" si="1"/>
        <v>200000</v>
      </c>
      <c r="J68" s="460"/>
    </row>
    <row r="69" spans="1:10" ht="187.5">
      <c r="A69" s="1070" t="s">
        <v>194</v>
      </c>
      <c r="B69" s="376" t="s">
        <v>1836</v>
      </c>
      <c r="C69" s="471">
        <v>591033</v>
      </c>
      <c r="D69" s="471"/>
      <c r="E69" s="452">
        <v>591033</v>
      </c>
      <c r="F69" s="509"/>
      <c r="G69" s="509"/>
      <c r="H69" s="459">
        <f t="shared" si="2"/>
        <v>0</v>
      </c>
      <c r="I69" s="459">
        <f t="shared" si="1"/>
        <v>1182066</v>
      </c>
      <c r="J69" s="460"/>
    </row>
    <row r="70" spans="1:10" ht="93.75">
      <c r="A70" s="1071"/>
      <c r="B70" s="376" t="s">
        <v>2428</v>
      </c>
      <c r="C70" s="456">
        <v>694500</v>
      </c>
      <c r="D70" s="456"/>
      <c r="E70" s="456">
        <v>694500</v>
      </c>
      <c r="F70" s="509"/>
      <c r="G70" s="509"/>
      <c r="H70" s="459">
        <f t="shared" si="2"/>
        <v>0</v>
      </c>
      <c r="I70" s="459">
        <f t="shared" si="1"/>
        <v>1389000</v>
      </c>
      <c r="J70" s="460"/>
    </row>
    <row r="71" spans="1:10">
      <c r="A71" s="1073"/>
      <c r="B71" s="467" t="s">
        <v>253</v>
      </c>
      <c r="C71" s="466">
        <f>SUM(C69:C70)</f>
        <v>1285533</v>
      </c>
      <c r="D71" s="466">
        <f>SUM(D69:D70)</f>
        <v>0</v>
      </c>
      <c r="E71" s="466">
        <f>SUM(E69:E70)</f>
        <v>1285533</v>
      </c>
      <c r="F71" s="509"/>
      <c r="G71" s="509"/>
      <c r="H71" s="459">
        <f t="shared" si="2"/>
        <v>0</v>
      </c>
      <c r="I71" s="459">
        <f t="shared" si="1"/>
        <v>2571066</v>
      </c>
      <c r="J71" s="460"/>
    </row>
    <row r="72" spans="1:10" ht="112.5">
      <c r="A72" s="1070" t="s">
        <v>459</v>
      </c>
      <c r="B72" s="376" t="s">
        <v>1837</v>
      </c>
      <c r="C72" s="471">
        <f>600000+186409</f>
        <v>786409</v>
      </c>
      <c r="D72" s="471"/>
      <c r="E72" s="452">
        <f>600000+186409</f>
        <v>786409</v>
      </c>
      <c r="F72" s="509"/>
      <c r="G72" s="509"/>
      <c r="H72" s="459">
        <f t="shared" si="2"/>
        <v>0</v>
      </c>
      <c r="I72" s="459">
        <f t="shared" si="1"/>
        <v>1572818</v>
      </c>
      <c r="J72" s="460"/>
    </row>
    <row r="73" spans="1:10" ht="112.5">
      <c r="A73" s="1071"/>
      <c r="B73" s="310" t="s">
        <v>3124</v>
      </c>
      <c r="C73" s="478">
        <v>150000</v>
      </c>
      <c r="D73" s="478"/>
      <c r="E73" s="478">
        <v>150000</v>
      </c>
      <c r="F73" s="509"/>
      <c r="G73" s="509"/>
      <c r="H73" s="459">
        <f t="shared" si="2"/>
        <v>0</v>
      </c>
      <c r="I73" s="459">
        <f t="shared" ref="I73:I109" si="3">SUM(C73:E73)</f>
        <v>300000</v>
      </c>
      <c r="J73" s="460"/>
    </row>
    <row r="74" spans="1:10" hidden="1">
      <c r="A74" s="1071"/>
      <c r="B74" s="376"/>
      <c r="C74" s="471"/>
      <c r="D74" s="471"/>
      <c r="E74" s="452"/>
      <c r="F74" s="509"/>
      <c r="G74" s="509"/>
      <c r="H74" s="459">
        <f t="shared" si="2"/>
        <v>0</v>
      </c>
      <c r="I74" s="459">
        <f t="shared" si="3"/>
        <v>0</v>
      </c>
      <c r="J74" s="460"/>
    </row>
    <row r="75" spans="1:10" hidden="1">
      <c r="A75" s="1071"/>
      <c r="B75" s="376"/>
      <c r="C75" s="471"/>
      <c r="D75" s="471"/>
      <c r="E75" s="452"/>
      <c r="F75" s="509"/>
      <c r="G75" s="509"/>
      <c r="H75" s="459">
        <f t="shared" si="2"/>
        <v>0</v>
      </c>
      <c r="I75" s="459">
        <f t="shared" si="3"/>
        <v>0</v>
      </c>
      <c r="J75" s="460"/>
    </row>
    <row r="76" spans="1:10" hidden="1">
      <c r="A76" s="1071"/>
      <c r="B76" s="376"/>
      <c r="C76" s="471"/>
      <c r="D76" s="471"/>
      <c r="E76" s="452"/>
      <c r="F76" s="509"/>
      <c r="G76" s="509"/>
      <c r="H76" s="459">
        <f t="shared" si="2"/>
        <v>0</v>
      </c>
      <c r="I76" s="459">
        <f t="shared" si="3"/>
        <v>0</v>
      </c>
      <c r="J76" s="460"/>
    </row>
    <row r="77" spans="1:10">
      <c r="A77" s="1073"/>
      <c r="B77" s="467" t="s">
        <v>253</v>
      </c>
      <c r="C77" s="466">
        <f>SUBTOTAL(9,C72:C76)</f>
        <v>936409</v>
      </c>
      <c r="D77" s="466">
        <f>SUBTOTAL(9,D72:D76)</f>
        <v>0</v>
      </c>
      <c r="E77" s="466">
        <f>SUBTOTAL(9,E72:E76)</f>
        <v>936409</v>
      </c>
      <c r="F77" s="509"/>
      <c r="G77" s="509"/>
      <c r="H77" s="459">
        <f t="shared" si="2"/>
        <v>0</v>
      </c>
      <c r="I77" s="459">
        <f t="shared" si="3"/>
        <v>1872818</v>
      </c>
      <c r="J77" s="460"/>
    </row>
    <row r="78" spans="1:10" ht="56.25" hidden="1">
      <c r="A78" s="1070" t="s">
        <v>951</v>
      </c>
      <c r="B78" s="376" t="s">
        <v>1864</v>
      </c>
      <c r="C78" s="455">
        <f>789473-789473</f>
        <v>0</v>
      </c>
      <c r="D78" s="455"/>
      <c r="E78" s="455">
        <f>789473-789473</f>
        <v>0</v>
      </c>
      <c r="F78" s="509"/>
      <c r="G78" s="509"/>
      <c r="H78" s="459">
        <f t="shared" si="2"/>
        <v>0</v>
      </c>
      <c r="I78" s="459">
        <f t="shared" si="3"/>
        <v>0</v>
      </c>
      <c r="J78" s="460" t="s">
        <v>1861</v>
      </c>
    </row>
    <row r="79" spans="1:10" hidden="1">
      <c r="A79" s="1073"/>
      <c r="B79" s="467" t="s">
        <v>253</v>
      </c>
      <c r="C79" s="466">
        <f>C78</f>
        <v>0</v>
      </c>
      <c r="D79" s="466">
        <f>D78</f>
        <v>0</v>
      </c>
      <c r="E79" s="466">
        <f>E78</f>
        <v>0</v>
      </c>
      <c r="F79" s="509"/>
      <c r="G79" s="509"/>
      <c r="H79" s="459">
        <f t="shared" si="2"/>
        <v>0</v>
      </c>
      <c r="I79" s="459">
        <f t="shared" si="3"/>
        <v>0</v>
      </c>
      <c r="J79" s="460"/>
    </row>
    <row r="80" spans="1:10" ht="112.5">
      <c r="A80" s="1070" t="s">
        <v>131</v>
      </c>
      <c r="B80" s="376" t="s">
        <v>1865</v>
      </c>
      <c r="C80" s="455">
        <v>171996</v>
      </c>
      <c r="D80" s="455"/>
      <c r="E80" s="455">
        <v>171996</v>
      </c>
      <c r="F80" s="509"/>
      <c r="G80" s="509"/>
      <c r="H80" s="459">
        <f t="shared" ref="H80:H97" si="4">E80+D80-C80</f>
        <v>0</v>
      </c>
      <c r="I80" s="459">
        <f t="shared" si="3"/>
        <v>343992</v>
      </c>
      <c r="J80" s="460" t="s">
        <v>1861</v>
      </c>
    </row>
    <row r="81" spans="1:10" s="463" customFormat="1">
      <c r="A81" s="1073"/>
      <c r="B81" s="467" t="s">
        <v>253</v>
      </c>
      <c r="C81" s="466">
        <f>C80</f>
        <v>171996</v>
      </c>
      <c r="D81" s="466">
        <f>D80</f>
        <v>0</v>
      </c>
      <c r="E81" s="466">
        <f>E80</f>
        <v>171996</v>
      </c>
      <c r="F81" s="509"/>
      <c r="G81" s="509"/>
      <c r="H81" s="459">
        <f t="shared" si="4"/>
        <v>0</v>
      </c>
      <c r="I81" s="459">
        <f t="shared" si="3"/>
        <v>343992</v>
      </c>
      <c r="J81" s="485"/>
    </row>
    <row r="82" spans="1:10" ht="93.75">
      <c r="A82" s="1070" t="s">
        <v>808</v>
      </c>
      <c r="B82" s="376" t="s">
        <v>1866</v>
      </c>
      <c r="C82" s="455">
        <v>531000</v>
      </c>
      <c r="D82" s="455"/>
      <c r="E82" s="455">
        <v>531000</v>
      </c>
      <c r="F82" s="509"/>
      <c r="G82" s="509"/>
      <c r="H82" s="459">
        <f t="shared" si="4"/>
        <v>0</v>
      </c>
      <c r="I82" s="459">
        <f t="shared" si="3"/>
        <v>1062000</v>
      </c>
      <c r="J82" s="460" t="s">
        <v>1861</v>
      </c>
    </row>
    <row r="83" spans="1:10">
      <c r="A83" s="1073"/>
      <c r="B83" s="467" t="s">
        <v>253</v>
      </c>
      <c r="C83" s="466">
        <f>C82</f>
        <v>531000</v>
      </c>
      <c r="D83" s="466">
        <f>D82</f>
        <v>0</v>
      </c>
      <c r="E83" s="466">
        <f>E82</f>
        <v>531000</v>
      </c>
      <c r="F83" s="509"/>
      <c r="G83" s="509"/>
      <c r="H83" s="459">
        <f t="shared" si="4"/>
        <v>0</v>
      </c>
      <c r="I83" s="459">
        <f t="shared" si="3"/>
        <v>1062000</v>
      </c>
      <c r="J83" s="460"/>
    </row>
    <row r="84" spans="1:10" ht="131.25">
      <c r="A84" s="1070" t="s">
        <v>348</v>
      </c>
      <c r="B84" s="376" t="s">
        <v>1868</v>
      </c>
      <c r="C84" s="455">
        <v>920000</v>
      </c>
      <c r="D84" s="455"/>
      <c r="E84" s="455">
        <v>920000</v>
      </c>
      <c r="F84" s="509"/>
      <c r="G84" s="509"/>
      <c r="H84" s="459">
        <f t="shared" si="4"/>
        <v>0</v>
      </c>
      <c r="I84" s="459">
        <f t="shared" si="3"/>
        <v>1840000</v>
      </c>
      <c r="J84" s="460" t="s">
        <v>1861</v>
      </c>
    </row>
    <row r="85" spans="1:10">
      <c r="A85" s="1073"/>
      <c r="B85" s="467" t="s">
        <v>253</v>
      </c>
      <c r="C85" s="466">
        <f>C84</f>
        <v>920000</v>
      </c>
      <c r="D85" s="466">
        <f>D84</f>
        <v>0</v>
      </c>
      <c r="E85" s="466">
        <f>E84</f>
        <v>920000</v>
      </c>
      <c r="F85" s="509"/>
      <c r="G85" s="509"/>
      <c r="H85" s="459">
        <f t="shared" si="4"/>
        <v>0</v>
      </c>
      <c r="I85" s="459">
        <f t="shared" si="3"/>
        <v>1840000</v>
      </c>
      <c r="J85" s="460"/>
    </row>
    <row r="86" spans="1:10" ht="112.5">
      <c r="A86" s="1070" t="s">
        <v>807</v>
      </c>
      <c r="B86" s="376" t="s">
        <v>1867</v>
      </c>
      <c r="C86" s="455">
        <v>610000</v>
      </c>
      <c r="D86" s="455"/>
      <c r="E86" s="455">
        <v>610000</v>
      </c>
      <c r="F86" s="509"/>
      <c r="G86" s="509"/>
      <c r="H86" s="459">
        <f t="shared" si="4"/>
        <v>0</v>
      </c>
      <c r="I86" s="459">
        <f t="shared" si="3"/>
        <v>1220000</v>
      </c>
      <c r="J86" s="460" t="s">
        <v>1861</v>
      </c>
    </row>
    <row r="87" spans="1:10" ht="56.25">
      <c r="A87" s="1071"/>
      <c r="B87" s="376" t="s">
        <v>3106</v>
      </c>
      <c r="C87" s="455">
        <v>200000</v>
      </c>
      <c r="D87" s="455"/>
      <c r="E87" s="455">
        <v>200000</v>
      </c>
      <c r="F87" s="509"/>
      <c r="G87" s="509"/>
      <c r="H87" s="459">
        <f t="shared" si="4"/>
        <v>0</v>
      </c>
      <c r="I87" s="459">
        <f t="shared" si="3"/>
        <v>400000</v>
      </c>
      <c r="J87" s="460"/>
    </row>
    <row r="88" spans="1:10">
      <c r="A88" s="1073"/>
      <c r="B88" s="467" t="s">
        <v>253</v>
      </c>
      <c r="C88" s="466">
        <f>C86+C87</f>
        <v>810000</v>
      </c>
      <c r="D88" s="466">
        <f>D86+D87</f>
        <v>0</v>
      </c>
      <c r="E88" s="466">
        <f>E86+E87</f>
        <v>810000</v>
      </c>
      <c r="F88" s="509"/>
      <c r="G88" s="509"/>
      <c r="H88" s="459">
        <f t="shared" si="4"/>
        <v>0</v>
      </c>
      <c r="I88" s="459">
        <f t="shared" si="3"/>
        <v>1620000</v>
      </c>
      <c r="J88" s="460"/>
    </row>
    <row r="89" spans="1:10" ht="131.25">
      <c r="A89" s="1070" t="s">
        <v>137</v>
      </c>
      <c r="B89" s="376" t="s">
        <v>2530</v>
      </c>
      <c r="C89" s="455">
        <v>518031</v>
      </c>
      <c r="D89" s="455"/>
      <c r="E89" s="455">
        <v>518031</v>
      </c>
      <c r="F89" s="509"/>
      <c r="G89" s="509"/>
      <c r="H89" s="459">
        <f t="shared" si="4"/>
        <v>0</v>
      </c>
      <c r="I89" s="459">
        <f t="shared" si="3"/>
        <v>1036062</v>
      </c>
      <c r="J89" s="460"/>
    </row>
    <row r="90" spans="1:10">
      <c r="A90" s="1073"/>
      <c r="B90" s="467" t="s">
        <v>253</v>
      </c>
      <c r="C90" s="466">
        <f>C89</f>
        <v>518031</v>
      </c>
      <c r="D90" s="466">
        <f>D89</f>
        <v>0</v>
      </c>
      <c r="E90" s="466">
        <f>E89</f>
        <v>518031</v>
      </c>
      <c r="F90" s="509"/>
      <c r="G90" s="509"/>
      <c r="H90" s="459">
        <f t="shared" si="4"/>
        <v>0</v>
      </c>
      <c r="I90" s="459">
        <f t="shared" si="3"/>
        <v>1036062</v>
      </c>
      <c r="J90" s="460"/>
    </row>
    <row r="91" spans="1:10" ht="93" hidden="1" customHeight="1">
      <c r="A91" s="1070" t="s">
        <v>45</v>
      </c>
      <c r="B91" s="376" t="s">
        <v>2535</v>
      </c>
      <c r="C91" s="455">
        <f>180810-180810</f>
        <v>0</v>
      </c>
      <c r="D91" s="455"/>
      <c r="E91" s="455">
        <f>180810-180810</f>
        <v>0</v>
      </c>
      <c r="F91" s="509"/>
      <c r="G91" s="509"/>
      <c r="H91" s="459">
        <f t="shared" si="4"/>
        <v>0</v>
      </c>
      <c r="I91" s="459">
        <f t="shared" si="3"/>
        <v>0</v>
      </c>
      <c r="J91" s="460"/>
    </row>
    <row r="92" spans="1:10" hidden="1">
      <c r="A92" s="1073"/>
      <c r="B92" s="467" t="s">
        <v>253</v>
      </c>
      <c r="C92" s="466">
        <f>C91</f>
        <v>0</v>
      </c>
      <c r="D92" s="466">
        <f>D91</f>
        <v>0</v>
      </c>
      <c r="E92" s="466">
        <f>E91</f>
        <v>0</v>
      </c>
      <c r="F92" s="509"/>
      <c r="G92" s="509"/>
      <c r="H92" s="459">
        <f t="shared" si="4"/>
        <v>0</v>
      </c>
      <c r="I92" s="459">
        <f t="shared" si="3"/>
        <v>0</v>
      </c>
      <c r="J92" s="460"/>
    </row>
    <row r="93" spans="1:10" ht="75">
      <c r="A93" s="1070" t="s">
        <v>134</v>
      </c>
      <c r="B93" s="376" t="s">
        <v>3104</v>
      </c>
      <c r="C93" s="455">
        <v>720000</v>
      </c>
      <c r="D93" s="455"/>
      <c r="E93" s="455">
        <v>720000</v>
      </c>
      <c r="F93" s="509"/>
      <c r="G93" s="509"/>
      <c r="H93" s="459">
        <f t="shared" si="4"/>
        <v>0</v>
      </c>
      <c r="I93" s="459">
        <f t="shared" si="3"/>
        <v>1440000</v>
      </c>
      <c r="J93" s="460"/>
    </row>
    <row r="94" spans="1:10">
      <c r="A94" s="1073"/>
      <c r="B94" s="467" t="s">
        <v>253</v>
      </c>
      <c r="C94" s="466">
        <f>C93</f>
        <v>720000</v>
      </c>
      <c r="D94" s="466">
        <f>D93</f>
        <v>0</v>
      </c>
      <c r="E94" s="466">
        <f>E93</f>
        <v>720000</v>
      </c>
      <c r="F94" s="509"/>
      <c r="G94" s="509"/>
      <c r="H94" s="459">
        <f t="shared" si="4"/>
        <v>0</v>
      </c>
      <c r="I94" s="459">
        <f t="shared" si="3"/>
        <v>1440000</v>
      </c>
      <c r="J94" s="460"/>
    </row>
    <row r="95" spans="1:10" ht="56.25">
      <c r="A95" s="1070" t="s">
        <v>324</v>
      </c>
      <c r="B95" s="376" t="s">
        <v>3117</v>
      </c>
      <c r="C95" s="455">
        <v>669880</v>
      </c>
      <c r="D95" s="455"/>
      <c r="E95" s="455">
        <v>669880</v>
      </c>
      <c r="F95" s="509"/>
      <c r="G95" s="509"/>
      <c r="H95" s="459">
        <f t="shared" si="4"/>
        <v>0</v>
      </c>
      <c r="I95" s="459">
        <f t="shared" si="3"/>
        <v>1339760</v>
      </c>
      <c r="J95" s="460"/>
    </row>
    <row r="96" spans="1:10">
      <c r="A96" s="1073"/>
      <c r="B96" s="467" t="s">
        <v>253</v>
      </c>
      <c r="C96" s="466">
        <f>C95</f>
        <v>669880</v>
      </c>
      <c r="D96" s="466">
        <f>D95</f>
        <v>0</v>
      </c>
      <c r="E96" s="466">
        <f>E95</f>
        <v>669880</v>
      </c>
      <c r="F96" s="509"/>
      <c r="G96" s="509"/>
      <c r="H96" s="459">
        <f t="shared" si="4"/>
        <v>0</v>
      </c>
      <c r="I96" s="459">
        <f t="shared" si="3"/>
        <v>1339760</v>
      </c>
      <c r="J96" s="460"/>
    </row>
    <row r="97" spans="1:10" ht="93.75">
      <c r="A97" s="1070" t="s">
        <v>350</v>
      </c>
      <c r="B97" s="310" t="s">
        <v>3121</v>
      </c>
      <c r="C97" s="478">
        <v>145200</v>
      </c>
      <c r="D97" s="478"/>
      <c r="E97" s="478">
        <v>145200</v>
      </c>
      <c r="F97" s="509"/>
      <c r="G97" s="509"/>
      <c r="H97" s="459">
        <f t="shared" si="4"/>
        <v>0</v>
      </c>
      <c r="I97" s="459">
        <f t="shared" si="3"/>
        <v>290400</v>
      </c>
      <c r="J97" s="460"/>
    </row>
    <row r="98" spans="1:10" ht="93.75">
      <c r="A98" s="1071"/>
      <c r="B98" s="310" t="s">
        <v>3122</v>
      </c>
      <c r="C98" s="478">
        <v>123150</v>
      </c>
      <c r="D98" s="478"/>
      <c r="E98" s="478">
        <v>123150</v>
      </c>
      <c r="F98" s="509"/>
      <c r="G98" s="509"/>
      <c r="H98" s="459">
        <f t="shared" ref="H98:H109" si="5">E98+D98-C98</f>
        <v>0</v>
      </c>
      <c r="I98" s="459">
        <f t="shared" si="3"/>
        <v>246300</v>
      </c>
      <c r="J98" s="460"/>
    </row>
    <row r="99" spans="1:10" ht="93.75">
      <c r="A99" s="1071"/>
      <c r="B99" s="310" t="s">
        <v>3123</v>
      </c>
      <c r="C99" s="478">
        <v>145100</v>
      </c>
      <c r="D99" s="478"/>
      <c r="E99" s="478">
        <v>145100</v>
      </c>
      <c r="F99" s="509"/>
      <c r="G99" s="509"/>
      <c r="H99" s="459">
        <f t="shared" si="5"/>
        <v>0</v>
      </c>
      <c r="I99" s="459">
        <f t="shared" si="3"/>
        <v>290200</v>
      </c>
      <c r="J99" s="460"/>
    </row>
    <row r="100" spans="1:10">
      <c r="A100" s="1073"/>
      <c r="B100" s="467" t="s">
        <v>253</v>
      </c>
      <c r="C100" s="466">
        <f>SUM(C97:C99)</f>
        <v>413450</v>
      </c>
      <c r="D100" s="466">
        <f>SUM(D97:D99)</f>
        <v>0</v>
      </c>
      <c r="E100" s="466">
        <f>SUM(E97:E99)</f>
        <v>413450</v>
      </c>
      <c r="F100" s="509"/>
      <c r="G100" s="509"/>
      <c r="H100" s="459">
        <f t="shared" si="5"/>
        <v>0</v>
      </c>
      <c r="I100" s="459">
        <f t="shared" si="3"/>
        <v>826900</v>
      </c>
      <c r="J100" s="460"/>
    </row>
    <row r="101" spans="1:10" ht="112.5">
      <c r="A101" s="450" t="s">
        <v>816</v>
      </c>
      <c r="B101" s="310" t="s">
        <v>3125</v>
      </c>
      <c r="C101" s="478">
        <v>2700000</v>
      </c>
      <c r="D101" s="478"/>
      <c r="E101" s="478">
        <v>2700000</v>
      </c>
      <c r="F101" s="509"/>
      <c r="G101" s="509"/>
      <c r="H101" s="459">
        <f t="shared" si="5"/>
        <v>0</v>
      </c>
      <c r="I101" s="459">
        <f t="shared" si="3"/>
        <v>5400000</v>
      </c>
      <c r="J101" s="460"/>
    </row>
    <row r="102" spans="1:10">
      <c r="A102" s="516"/>
      <c r="B102" s="467" t="s">
        <v>253</v>
      </c>
      <c r="C102" s="466">
        <f>C101</f>
        <v>2700000</v>
      </c>
      <c r="D102" s="466">
        <f>D101</f>
        <v>0</v>
      </c>
      <c r="E102" s="466">
        <f>E101</f>
        <v>2700000</v>
      </c>
      <c r="F102" s="509"/>
      <c r="G102" s="509"/>
      <c r="H102" s="459">
        <f t="shared" si="5"/>
        <v>0</v>
      </c>
      <c r="I102" s="459">
        <f t="shared" si="3"/>
        <v>5400000</v>
      </c>
      <c r="J102" s="460"/>
    </row>
    <row r="103" spans="1:10" ht="112.5">
      <c r="A103" s="1070" t="s">
        <v>3131</v>
      </c>
      <c r="B103" s="376" t="s">
        <v>3132</v>
      </c>
      <c r="C103" s="455">
        <v>100000</v>
      </c>
      <c r="D103" s="455"/>
      <c r="E103" s="455">
        <v>100000</v>
      </c>
      <c r="F103" s="509"/>
      <c r="G103" s="509"/>
      <c r="H103" s="459">
        <f t="shared" si="5"/>
        <v>0</v>
      </c>
      <c r="I103" s="459">
        <f t="shared" si="3"/>
        <v>200000</v>
      </c>
      <c r="J103" s="460"/>
    </row>
    <row r="104" spans="1:10">
      <c r="A104" s="1073"/>
      <c r="B104" s="467" t="s">
        <v>253</v>
      </c>
      <c r="C104" s="466">
        <f>C103</f>
        <v>100000</v>
      </c>
      <c r="D104" s="466">
        <f>D103</f>
        <v>0</v>
      </c>
      <c r="E104" s="466">
        <f>E103</f>
        <v>100000</v>
      </c>
      <c r="F104" s="509"/>
      <c r="G104" s="509"/>
      <c r="H104" s="459">
        <f t="shared" si="5"/>
        <v>0</v>
      </c>
      <c r="I104" s="459">
        <f t="shared" si="3"/>
        <v>200000</v>
      </c>
      <c r="J104" s="460"/>
    </row>
    <row r="105" spans="1:10" hidden="1">
      <c r="A105" s="516"/>
      <c r="B105" s="517"/>
      <c r="C105" s="466"/>
      <c r="D105" s="466"/>
      <c r="E105" s="466"/>
      <c r="F105" s="509"/>
      <c r="G105" s="509"/>
      <c r="H105" s="459">
        <f t="shared" si="5"/>
        <v>0</v>
      </c>
      <c r="I105" s="459">
        <f t="shared" si="3"/>
        <v>0</v>
      </c>
      <c r="J105" s="460"/>
    </row>
    <row r="106" spans="1:10" hidden="1">
      <c r="A106" s="516"/>
      <c r="B106" s="517"/>
      <c r="C106" s="466"/>
      <c r="D106" s="466"/>
      <c r="E106" s="466"/>
      <c r="F106" s="509"/>
      <c r="G106" s="509"/>
      <c r="H106" s="459">
        <f t="shared" si="5"/>
        <v>0</v>
      </c>
      <c r="I106" s="459">
        <f t="shared" si="3"/>
        <v>0</v>
      </c>
      <c r="J106" s="460"/>
    </row>
    <row r="107" spans="1:10" hidden="1">
      <c r="A107" s="516"/>
      <c r="B107" s="517"/>
      <c r="C107" s="466"/>
      <c r="D107" s="466"/>
      <c r="E107" s="466"/>
      <c r="F107" s="509"/>
      <c r="G107" s="509"/>
      <c r="H107" s="459">
        <f t="shared" si="5"/>
        <v>0</v>
      </c>
      <c r="I107" s="459">
        <f t="shared" si="3"/>
        <v>0</v>
      </c>
      <c r="J107" s="460"/>
    </row>
    <row r="108" spans="1:10" hidden="1">
      <c r="A108" s="516"/>
      <c r="B108" s="517"/>
      <c r="C108" s="466"/>
      <c r="D108" s="466"/>
      <c r="E108" s="466"/>
      <c r="F108" s="509"/>
      <c r="G108" s="509"/>
      <c r="H108" s="459">
        <f t="shared" si="5"/>
        <v>0</v>
      </c>
      <c r="I108" s="459">
        <f t="shared" si="3"/>
        <v>0</v>
      </c>
      <c r="J108" s="460"/>
    </row>
    <row r="109" spans="1:10">
      <c r="A109" s="1075" t="s">
        <v>83</v>
      </c>
      <c r="B109" s="1076"/>
      <c r="C109" s="532">
        <f>C11+C14+C16+C18+C23+C25+C27+C29+C31+C35+C37+C39+C41+C43+C60+C66+C68+C71+C77+C79+C81+C83+C85+C88+C90+C92+C94+C100+C102+C96+C104</f>
        <v>31479447.030000001</v>
      </c>
      <c r="D109" s="532">
        <f>D11+D14+D16+D18+D23+D25+D27+D29+D31+D35+D37+D39+D41+D43+D60+D66+D68+D71+D77+D79+D81+D83+D85+D88+D90+D92+D94+D100+D102+D96+D104</f>
        <v>0</v>
      </c>
      <c r="E109" s="532">
        <f>E11+E14+E16+E18+E23+E25+E27+E29+E31+E35+E37+E39+E41+E43+E60+E66+E68+E71+E77+E79+E81+E83+E85+E88+E90+E92+E94+E100+E102+E96+E104</f>
        <v>31479447.030000001</v>
      </c>
      <c r="F109" s="518">
        <f>F11+F14+F16+F18+F23+F25+F27+F29+F31+F35+F37+F39+F41+F43+F60+F66+F68+F71+F77+F79+F81+F83+F85+F88+F90+F92+F94+F100+F102+F96+F104</f>
        <v>0</v>
      </c>
      <c r="G109" s="518">
        <f>G11+G14+G16+G18+G23+G25+G27+G29+G31+G35+G37+G39+G41+G43+G60+G66+G68+G71+G77+G79+G81+G83+G85+G88+G90+G92+G94+G100+G102+G96+G104</f>
        <v>66800</v>
      </c>
      <c r="H109" s="459">
        <f t="shared" si="5"/>
        <v>0</v>
      </c>
      <c r="I109" s="459">
        <f t="shared" si="3"/>
        <v>62958894.060000002</v>
      </c>
      <c r="J109" s="460"/>
    </row>
    <row r="110" spans="1:10">
      <c r="A110" s="519"/>
      <c r="B110" s="520"/>
      <c r="C110" s="521"/>
      <c r="D110" s="521"/>
      <c r="E110" s="521"/>
      <c r="F110" s="514"/>
      <c r="G110" s="514"/>
      <c r="H110" s="459">
        <v>1</v>
      </c>
      <c r="I110" s="459">
        <v>1</v>
      </c>
    </row>
    <row r="111" spans="1:10">
      <c r="A111" s="519"/>
      <c r="B111" s="520"/>
      <c r="C111" s="521"/>
      <c r="D111" s="521"/>
      <c r="E111" s="521"/>
      <c r="F111" s="514"/>
      <c r="G111" s="514"/>
      <c r="H111" s="459">
        <v>1</v>
      </c>
      <c r="I111" s="459">
        <v>1</v>
      </c>
    </row>
    <row r="112" spans="1:10">
      <c r="A112" s="489" t="s">
        <v>271</v>
      </c>
      <c r="B112" s="490"/>
      <c r="C112" s="522"/>
      <c r="D112" s="523"/>
      <c r="E112" s="524" t="s">
        <v>272</v>
      </c>
      <c r="F112" s="514"/>
      <c r="G112" s="514"/>
      <c r="H112" s="459">
        <v>1</v>
      </c>
      <c r="I112" s="459">
        <v>1</v>
      </c>
    </row>
    <row r="113" spans="1:9">
      <c r="A113" s="519"/>
      <c r="B113" s="520"/>
      <c r="C113" s="521"/>
      <c r="D113" s="521"/>
      <c r="E113" s="521"/>
      <c r="F113" s="514"/>
      <c r="G113" s="514"/>
      <c r="H113" s="459">
        <v>1</v>
      </c>
      <c r="I113" s="459">
        <v>1</v>
      </c>
    </row>
    <row r="114" spans="1:9">
      <c r="A114" s="519"/>
      <c r="B114" s="520"/>
      <c r="C114" s="521"/>
      <c r="D114" s="521"/>
      <c r="E114" s="521"/>
      <c r="F114" s="514"/>
      <c r="G114" s="514"/>
      <c r="H114" s="459">
        <v>1</v>
      </c>
      <c r="I114" s="459">
        <v>1</v>
      </c>
    </row>
    <row r="115" spans="1:9">
      <c r="C115" s="525"/>
      <c r="D115" s="525"/>
      <c r="E115" s="525"/>
      <c r="F115" s="526"/>
      <c r="H115" s="459">
        <v>1</v>
      </c>
      <c r="I115" s="459">
        <v>1</v>
      </c>
    </row>
    <row r="116" spans="1:9" hidden="1">
      <c r="A116" s="519"/>
      <c r="B116" s="520"/>
      <c r="C116" s="521"/>
      <c r="D116" s="521"/>
      <c r="E116" s="521"/>
      <c r="F116" s="514"/>
      <c r="G116" s="514"/>
      <c r="H116" s="459">
        <v>1</v>
      </c>
      <c r="I116" s="459">
        <f>SUM(C116:E116)</f>
        <v>0</v>
      </c>
    </row>
    <row r="117" spans="1:9" hidden="1">
      <c r="C117" s="525">
        <f>C109-дод1!C141</f>
        <v>0</v>
      </c>
      <c r="D117" s="525">
        <f>D109-дод1!D141</f>
        <v>0</v>
      </c>
      <c r="E117" s="525">
        <f>E109-дод1!E141</f>
        <v>0</v>
      </c>
      <c r="F117" s="497">
        <f>F109-дод1!F141</f>
        <v>-31479447.030000001</v>
      </c>
      <c r="G117" s="497">
        <f>G109-дод1!G141</f>
        <v>-94371541.090000004</v>
      </c>
      <c r="H117" s="459">
        <v>1</v>
      </c>
      <c r="I117" s="459">
        <f>SUM(C117:E117)</f>
        <v>0</v>
      </c>
    </row>
    <row r="118" spans="1:9" s="463" customFormat="1" hidden="1">
      <c r="A118" s="494"/>
      <c r="B118" s="495"/>
      <c r="C118" s="527"/>
      <c r="D118" s="527"/>
      <c r="E118" s="528"/>
      <c r="F118" s="302"/>
      <c r="G118" s="302"/>
      <c r="H118" s="459">
        <v>1</v>
      </c>
      <c r="I118" s="459">
        <f>SUM(C118:E118)</f>
        <v>0</v>
      </c>
    </row>
    <row r="119" spans="1:9" hidden="1">
      <c r="C119" s="525"/>
      <c r="D119" s="525"/>
      <c r="E119" s="529"/>
      <c r="F119" s="501">
        <f>F109-дод1!F142</f>
        <v>-26904342</v>
      </c>
      <c r="G119" s="501">
        <f>G109-дод1!G142</f>
        <v>-82850546</v>
      </c>
      <c r="H119" s="459">
        <v>1</v>
      </c>
      <c r="I119" s="459">
        <f>SUM(C119:E119)</f>
        <v>0</v>
      </c>
    </row>
    <row r="120" spans="1:9" hidden="1">
      <c r="A120" s="302"/>
      <c r="B120" s="302"/>
      <c r="C120" s="525"/>
      <c r="D120" s="525"/>
      <c r="E120" s="525"/>
      <c r="H120" s="302">
        <v>1</v>
      </c>
    </row>
    <row r="121" spans="1:9" hidden="1">
      <c r="C121" s="525"/>
      <c r="D121" s="525"/>
      <c r="E121" s="529"/>
    </row>
    <row r="122" spans="1:9" hidden="1">
      <c r="B122" s="480" t="s">
        <v>96</v>
      </c>
      <c r="C122" s="525">
        <f>дод1!C141</f>
        <v>31479447.030000001</v>
      </c>
      <c r="D122" s="525">
        <f>дод1!D141</f>
        <v>0</v>
      </c>
      <c r="E122" s="525">
        <f>дод1!E141</f>
        <v>31479447.030000001</v>
      </c>
    </row>
    <row r="123" spans="1:9" hidden="1">
      <c r="B123" s="480" t="s">
        <v>1618</v>
      </c>
      <c r="C123" s="525">
        <f>C109-C122</f>
        <v>0</v>
      </c>
      <c r="D123" s="525">
        <f>D109-D122</f>
        <v>0</v>
      </c>
      <c r="E123" s="525">
        <f>E109-E122</f>
        <v>0</v>
      </c>
      <c r="F123" s="497">
        <f>F122-F119</f>
        <v>26904342</v>
      </c>
      <c r="G123" s="497">
        <f>G122-G119</f>
        <v>82850546</v>
      </c>
    </row>
    <row r="124" spans="1:9" hidden="1">
      <c r="C124" s="525"/>
      <c r="D124" s="525"/>
      <c r="E124" s="529"/>
    </row>
  </sheetData>
  <autoFilter ref="A1:AQ124">
    <filterColumn colId="8">
      <customFilters and="1">
        <customFilter operator="greaterThan" val="0"/>
      </customFilters>
    </filterColumn>
  </autoFilter>
  <mergeCells count="31">
    <mergeCell ref="A8:A11"/>
    <mergeCell ref="A32:A35"/>
    <mergeCell ref="A103:A104"/>
    <mergeCell ref="A93:A94"/>
    <mergeCell ref="A109:B109"/>
    <mergeCell ref="A4:F4"/>
    <mergeCell ref="A19:A23"/>
    <mergeCell ref="A17:A18"/>
    <mergeCell ref="A40:A41"/>
    <mergeCell ref="A42:A43"/>
    <mergeCell ref="A28:A29"/>
    <mergeCell ref="A44:A60"/>
    <mergeCell ref="A78:A79"/>
    <mergeCell ref="A84:A85"/>
    <mergeCell ref="A12:A14"/>
    <mergeCell ref="A67:A68"/>
    <mergeCell ref="A24:A27"/>
    <mergeCell ref="A15:A16"/>
    <mergeCell ref="A38:A39"/>
    <mergeCell ref="A36:A37"/>
    <mergeCell ref="A30:A31"/>
    <mergeCell ref="A95:A96"/>
    <mergeCell ref="A97:A100"/>
    <mergeCell ref="A89:A90"/>
    <mergeCell ref="A91:A92"/>
    <mergeCell ref="A61:A66"/>
    <mergeCell ref="A69:A71"/>
    <mergeCell ref="A82:A83"/>
    <mergeCell ref="A72:A77"/>
    <mergeCell ref="A80:A81"/>
    <mergeCell ref="A86:A88"/>
  </mergeCells>
  <printOptions horizontalCentered="1"/>
  <pageMargins left="0.39370078740157483" right="0" top="7.874015748031496E-2" bottom="0" header="0" footer="0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Q49"/>
  <sheetViews>
    <sheetView view="pageBreakPreview" zoomScale="75" zoomScaleNormal="65" zoomScaleSheetLayoutView="75" workbookViewId="0">
      <pane xSplit="2" ySplit="7" topLeftCell="C18" activePane="bottomRight" state="frozen"/>
      <selection pane="topRight" activeCell="C1" sqref="C1"/>
      <selection pane="bottomLeft" activeCell="A8" sqref="A8"/>
      <selection pane="bottomRight" activeCell="A36" sqref="A36:IV49"/>
    </sheetView>
  </sheetViews>
  <sheetFormatPr defaultRowHeight="18.75"/>
  <cols>
    <col min="1" max="1" width="26.85546875" style="493" customWidth="1"/>
    <col min="2" max="2" width="44.42578125" style="480" customWidth="1"/>
    <col min="3" max="3" width="20.7109375" style="480" customWidth="1"/>
    <col min="4" max="4" width="22.5703125" style="480" customWidth="1"/>
    <col min="5" max="5" width="21.5703125" style="440" customWidth="1"/>
    <col min="6" max="6" width="16.85546875" style="5" hidden="1" customWidth="1"/>
    <col min="7" max="7" width="13.7109375" style="5" hidden="1" customWidth="1"/>
    <col min="8" max="8" width="16.42578125" style="302" hidden="1" customWidth="1"/>
    <col min="9" max="9" width="17.140625" style="302" hidden="1" customWidth="1"/>
    <col min="10" max="15" width="0" style="302" hidden="1" customWidth="1"/>
    <col min="16" max="16384" width="9.140625" style="302"/>
  </cols>
  <sheetData>
    <row r="1" spans="1:43" s="458" customFormat="1" ht="20.25" customHeight="1">
      <c r="A1" s="437"/>
      <c r="B1" s="438"/>
      <c r="C1" s="438"/>
      <c r="D1" s="439" t="s">
        <v>1715</v>
      </c>
      <c r="E1" s="440"/>
      <c r="F1" s="69"/>
      <c r="G1" s="11"/>
      <c r="H1" s="457"/>
      <c r="I1" s="457">
        <v>1</v>
      </c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457"/>
      <c r="AC1" s="457"/>
      <c r="AD1" s="457"/>
      <c r="AE1" s="457"/>
      <c r="AF1" s="457"/>
      <c r="AG1" s="457"/>
      <c r="AH1" s="457"/>
      <c r="AI1" s="457"/>
      <c r="AJ1" s="457"/>
      <c r="AK1" s="457"/>
      <c r="AL1" s="457"/>
      <c r="AM1" s="457"/>
      <c r="AN1" s="457"/>
      <c r="AO1" s="457"/>
      <c r="AP1" s="457"/>
      <c r="AQ1" s="457"/>
    </row>
    <row r="2" spans="1:43" s="458" customFormat="1" ht="18" customHeight="1">
      <c r="A2" s="441"/>
      <c r="B2" s="442"/>
      <c r="C2" s="442"/>
      <c r="D2" s="439" t="s">
        <v>476</v>
      </c>
      <c r="E2" s="440"/>
      <c r="F2" s="69"/>
      <c r="G2" s="11"/>
      <c r="H2" s="457"/>
      <c r="I2" s="457">
        <v>1</v>
      </c>
      <c r="J2" s="457"/>
      <c r="K2" s="457"/>
      <c r="L2" s="503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  <c r="AQ2" s="457"/>
    </row>
    <row r="3" spans="1:43" s="458" customFormat="1" ht="18" customHeight="1">
      <c r="A3" s="441"/>
      <c r="B3" s="442"/>
      <c r="C3" s="442"/>
      <c r="D3" s="439" t="s">
        <v>3247</v>
      </c>
      <c r="E3" s="440"/>
      <c r="F3" s="69"/>
      <c r="G3" s="11"/>
      <c r="H3" s="457"/>
      <c r="I3" s="457">
        <v>1</v>
      </c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  <c r="W3" s="457"/>
      <c r="X3" s="457"/>
      <c r="Y3" s="457"/>
      <c r="Z3" s="457"/>
      <c r="AA3" s="457"/>
      <c r="AB3" s="457"/>
      <c r="AC3" s="457"/>
      <c r="AD3" s="457"/>
      <c r="AE3" s="457"/>
      <c r="AF3" s="457"/>
      <c r="AG3" s="457"/>
      <c r="AH3" s="457"/>
      <c r="AI3" s="457"/>
      <c r="AJ3" s="457"/>
      <c r="AK3" s="457"/>
      <c r="AL3" s="457"/>
      <c r="AM3" s="457"/>
      <c r="AN3" s="457"/>
      <c r="AO3" s="457"/>
      <c r="AP3" s="457"/>
      <c r="AQ3" s="457"/>
    </row>
    <row r="4" spans="1:43" s="458" customFormat="1" ht="37.5" customHeight="1">
      <c r="A4" s="1083" t="s">
        <v>1698</v>
      </c>
      <c r="B4" s="1083"/>
      <c r="C4" s="1083"/>
      <c r="D4" s="1083"/>
      <c r="E4" s="1084"/>
      <c r="F4" s="1085"/>
      <c r="G4" s="3"/>
      <c r="H4" s="457"/>
      <c r="I4" s="457">
        <v>1</v>
      </c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57"/>
      <c r="W4" s="457"/>
      <c r="X4" s="457"/>
      <c r="Y4" s="457"/>
      <c r="Z4" s="457"/>
      <c r="AA4" s="457"/>
      <c r="AB4" s="457"/>
      <c r="AC4" s="457"/>
      <c r="AD4" s="457"/>
      <c r="AE4" s="457"/>
      <c r="AF4" s="457"/>
      <c r="AG4" s="457"/>
      <c r="AH4" s="457"/>
      <c r="AI4" s="457"/>
      <c r="AJ4" s="457"/>
      <c r="AK4" s="457"/>
      <c r="AL4" s="457"/>
      <c r="AM4" s="457"/>
      <c r="AN4" s="457"/>
      <c r="AO4" s="457"/>
      <c r="AP4" s="457"/>
      <c r="AQ4" s="457"/>
    </row>
    <row r="5" spans="1:43" ht="16.5" customHeight="1">
      <c r="A5" s="443"/>
      <c r="B5" s="444"/>
      <c r="C5" s="444"/>
      <c r="D5" s="444"/>
      <c r="E5" s="445" t="s">
        <v>383</v>
      </c>
      <c r="F5" s="70"/>
      <c r="G5" s="71"/>
      <c r="I5" s="302">
        <v>1</v>
      </c>
    </row>
    <row r="6" spans="1:43" ht="54.75" customHeight="1">
      <c r="A6" s="450" t="s">
        <v>117</v>
      </c>
      <c r="B6" s="479" t="s">
        <v>105</v>
      </c>
      <c r="C6" s="479" t="s">
        <v>302</v>
      </c>
      <c r="D6" s="448" t="s">
        <v>180</v>
      </c>
      <c r="E6" s="449" t="s">
        <v>181</v>
      </c>
      <c r="F6" s="70"/>
      <c r="G6" s="71"/>
      <c r="I6" s="302">
        <v>1</v>
      </c>
    </row>
    <row r="7" spans="1:43" ht="18" customHeight="1">
      <c r="A7" s="450">
        <v>1</v>
      </c>
      <c r="B7" s="479">
        <v>2</v>
      </c>
      <c r="C7" s="479">
        <v>3</v>
      </c>
      <c r="D7" s="448">
        <v>4</v>
      </c>
      <c r="E7" s="449">
        <v>5</v>
      </c>
      <c r="F7" s="70"/>
      <c r="G7" s="71"/>
      <c r="I7" s="302">
        <v>1</v>
      </c>
    </row>
    <row r="8" spans="1:43" ht="131.25">
      <c r="A8" s="1070" t="s">
        <v>45</v>
      </c>
      <c r="B8" s="376" t="s">
        <v>1681</v>
      </c>
      <c r="C8" s="515">
        <v>47090</v>
      </c>
      <c r="D8" s="508"/>
      <c r="E8" s="515">
        <v>47090</v>
      </c>
      <c r="F8" s="75"/>
      <c r="G8" s="75"/>
      <c r="H8" s="459">
        <f>E8+D8-C8</f>
        <v>0</v>
      </c>
      <c r="I8" s="459">
        <f>SUM(C8:E8)</f>
        <v>94180</v>
      </c>
      <c r="J8" s="460"/>
    </row>
    <row r="9" spans="1:43">
      <c r="A9" s="1073"/>
      <c r="B9" s="467" t="s">
        <v>253</v>
      </c>
      <c r="C9" s="510">
        <f>SUM(C8:C8)</f>
        <v>47090</v>
      </c>
      <c r="D9" s="510">
        <f>SUM(D8:D8)</f>
        <v>0</v>
      </c>
      <c r="E9" s="510">
        <f>SUM(E8:E8)</f>
        <v>47090</v>
      </c>
      <c r="F9" s="75"/>
      <c r="G9" s="75"/>
      <c r="H9" s="459">
        <f t="shared" ref="H9:H30" si="0">E9+D9-C9</f>
        <v>0</v>
      </c>
      <c r="I9" s="459">
        <f t="shared" ref="I9:I30" si="1">SUM(C9:E9)</f>
        <v>94180</v>
      </c>
      <c r="J9" s="460"/>
    </row>
    <row r="10" spans="1:43" ht="131.25">
      <c r="A10" s="1070" t="s">
        <v>329</v>
      </c>
      <c r="B10" s="376" t="s">
        <v>1681</v>
      </c>
      <c r="C10" s="515">
        <f>15760-1120</f>
        <v>14640</v>
      </c>
      <c r="D10" s="508"/>
      <c r="E10" s="515">
        <f>15760-1120</f>
        <v>14640</v>
      </c>
      <c r="F10" s="75"/>
      <c r="G10" s="75"/>
      <c r="H10" s="459">
        <f t="shared" si="0"/>
        <v>0</v>
      </c>
      <c r="I10" s="459">
        <f t="shared" si="1"/>
        <v>29280</v>
      </c>
      <c r="J10" s="460"/>
    </row>
    <row r="11" spans="1:43">
      <c r="A11" s="1073"/>
      <c r="B11" s="467" t="s">
        <v>253</v>
      </c>
      <c r="C11" s="510">
        <f>C10</f>
        <v>14640</v>
      </c>
      <c r="D11" s="510">
        <f>D10</f>
        <v>0</v>
      </c>
      <c r="E11" s="510">
        <f>E10</f>
        <v>14640</v>
      </c>
      <c r="F11" s="75"/>
      <c r="G11" s="75"/>
      <c r="H11" s="459">
        <f t="shared" si="0"/>
        <v>0</v>
      </c>
      <c r="I11" s="459">
        <f t="shared" si="1"/>
        <v>29280</v>
      </c>
      <c r="J11" s="460"/>
    </row>
    <row r="12" spans="1:43" ht="131.25">
      <c r="A12" s="1070" t="s">
        <v>49</v>
      </c>
      <c r="B12" s="310" t="s">
        <v>1681</v>
      </c>
      <c r="C12" s="428">
        <v>46020</v>
      </c>
      <c r="D12" s="428"/>
      <c r="E12" s="428">
        <v>46020</v>
      </c>
      <c r="F12" s="75"/>
      <c r="G12" s="75"/>
      <c r="H12" s="459">
        <f t="shared" si="0"/>
        <v>0</v>
      </c>
      <c r="I12" s="459">
        <f t="shared" si="1"/>
        <v>92040</v>
      </c>
      <c r="J12" s="460"/>
    </row>
    <row r="13" spans="1:43">
      <c r="A13" s="1073"/>
      <c r="B13" s="467" t="s">
        <v>253</v>
      </c>
      <c r="C13" s="510">
        <f>C12</f>
        <v>46020</v>
      </c>
      <c r="D13" s="510">
        <f>D12</f>
        <v>0</v>
      </c>
      <c r="E13" s="510">
        <f>E12</f>
        <v>46020</v>
      </c>
      <c r="F13" s="75"/>
      <c r="G13" s="75"/>
      <c r="H13" s="459">
        <f t="shared" si="0"/>
        <v>0</v>
      </c>
      <c r="I13" s="459">
        <f t="shared" si="1"/>
        <v>92040</v>
      </c>
      <c r="J13" s="460"/>
    </row>
    <row r="14" spans="1:43" ht="131.25">
      <c r="A14" s="1070" t="s">
        <v>279</v>
      </c>
      <c r="B14" s="310" t="s">
        <v>1681</v>
      </c>
      <c r="C14" s="428">
        <v>170000</v>
      </c>
      <c r="D14" s="428"/>
      <c r="E14" s="428">
        <v>170000</v>
      </c>
      <c r="F14" s="75"/>
      <c r="G14" s="75"/>
      <c r="H14" s="459">
        <f t="shared" si="0"/>
        <v>0</v>
      </c>
      <c r="I14" s="459">
        <f t="shared" si="1"/>
        <v>340000</v>
      </c>
      <c r="J14" s="460"/>
    </row>
    <row r="15" spans="1:43">
      <c r="A15" s="1073"/>
      <c r="B15" s="467" t="s">
        <v>253</v>
      </c>
      <c r="C15" s="510">
        <f>C14</f>
        <v>170000</v>
      </c>
      <c r="D15" s="510">
        <f>D14</f>
        <v>0</v>
      </c>
      <c r="E15" s="510">
        <f>E14</f>
        <v>170000</v>
      </c>
      <c r="F15" s="75"/>
      <c r="G15" s="75"/>
      <c r="H15" s="459">
        <f t="shared" si="0"/>
        <v>0</v>
      </c>
      <c r="I15" s="459">
        <f t="shared" si="1"/>
        <v>340000</v>
      </c>
      <c r="J15" s="460"/>
    </row>
    <row r="16" spans="1:43" ht="131.25">
      <c r="A16" s="1068" t="s">
        <v>200</v>
      </c>
      <c r="B16" s="310" t="s">
        <v>1681</v>
      </c>
      <c r="C16" s="428">
        <v>29583</v>
      </c>
      <c r="D16" s="428"/>
      <c r="E16" s="428">
        <v>29583</v>
      </c>
      <c r="F16" s="136">
        <v>0</v>
      </c>
      <c r="G16" s="136">
        <v>0</v>
      </c>
      <c r="H16" s="459">
        <f t="shared" si="0"/>
        <v>0</v>
      </c>
      <c r="I16" s="459">
        <f t="shared" si="1"/>
        <v>59166</v>
      </c>
      <c r="J16" s="460"/>
    </row>
    <row r="17" spans="1:10">
      <c r="A17" s="1068"/>
      <c r="B17" s="467" t="s">
        <v>253</v>
      </c>
      <c r="C17" s="512">
        <f>C16</f>
        <v>29583</v>
      </c>
      <c r="D17" s="512">
        <f>D16</f>
        <v>0</v>
      </c>
      <c r="E17" s="512">
        <f>E16</f>
        <v>29583</v>
      </c>
      <c r="F17" s="136">
        <v>0</v>
      </c>
      <c r="G17" s="136">
        <v>66800</v>
      </c>
      <c r="H17" s="459">
        <f t="shared" si="0"/>
        <v>0</v>
      </c>
      <c r="I17" s="459">
        <f t="shared" si="1"/>
        <v>59166</v>
      </c>
      <c r="J17" s="460"/>
    </row>
    <row r="18" spans="1:10" ht="131.25">
      <c r="A18" s="1068" t="s">
        <v>1733</v>
      </c>
      <c r="B18" s="310" t="s">
        <v>1681</v>
      </c>
      <c r="C18" s="428">
        <v>39440</v>
      </c>
      <c r="D18" s="428"/>
      <c r="E18" s="428">
        <v>39440</v>
      </c>
      <c r="F18" s="75"/>
      <c r="G18" s="75"/>
      <c r="H18" s="459">
        <f t="shared" si="0"/>
        <v>0</v>
      </c>
      <c r="I18" s="459">
        <f t="shared" si="1"/>
        <v>78880</v>
      </c>
      <c r="J18" s="460"/>
    </row>
    <row r="19" spans="1:10" ht="56.25">
      <c r="A19" s="1068"/>
      <c r="B19" s="376" t="s">
        <v>2418</v>
      </c>
      <c r="C19" s="428">
        <f>1200000-1200000</f>
        <v>0</v>
      </c>
      <c r="D19" s="428"/>
      <c r="E19" s="428">
        <f>1200000-1200000</f>
        <v>0</v>
      </c>
      <c r="F19" s="75"/>
      <c r="G19" s="75"/>
      <c r="H19" s="459">
        <f t="shared" si="0"/>
        <v>0</v>
      </c>
      <c r="I19" s="459">
        <f t="shared" si="1"/>
        <v>0</v>
      </c>
      <c r="J19" s="460"/>
    </row>
    <row r="20" spans="1:10">
      <c r="A20" s="1068"/>
      <c r="B20" s="467" t="s">
        <v>253</v>
      </c>
      <c r="C20" s="512">
        <f>C18+C19</f>
        <v>39440</v>
      </c>
      <c r="D20" s="512">
        <f>D18+D19</f>
        <v>0</v>
      </c>
      <c r="E20" s="512">
        <f>E18+E19</f>
        <v>39440</v>
      </c>
      <c r="F20" s="75"/>
      <c r="G20" s="75"/>
      <c r="H20" s="459">
        <f t="shared" si="0"/>
        <v>0</v>
      </c>
      <c r="I20" s="459">
        <f t="shared" si="1"/>
        <v>78880</v>
      </c>
      <c r="J20" s="460"/>
    </row>
    <row r="21" spans="1:10" ht="131.25">
      <c r="A21" s="1070" t="s">
        <v>103</v>
      </c>
      <c r="B21" s="310" t="s">
        <v>1681</v>
      </c>
      <c r="C21" s="508">
        <v>88847</v>
      </c>
      <c r="D21" s="508"/>
      <c r="E21" s="508">
        <v>88847</v>
      </c>
      <c r="F21" s="366"/>
      <c r="G21" s="366"/>
      <c r="H21" s="459">
        <f t="shared" si="0"/>
        <v>0</v>
      </c>
      <c r="I21" s="459">
        <f t="shared" si="1"/>
        <v>177694</v>
      </c>
      <c r="J21" s="460"/>
    </row>
    <row r="22" spans="1:10">
      <c r="A22" s="1073"/>
      <c r="B22" s="467" t="s">
        <v>253</v>
      </c>
      <c r="C22" s="510">
        <f>C21</f>
        <v>88847</v>
      </c>
      <c r="D22" s="510">
        <f>D21</f>
        <v>0</v>
      </c>
      <c r="E22" s="510">
        <f>E21</f>
        <v>88847</v>
      </c>
      <c r="F22" s="75"/>
      <c r="G22" s="75"/>
      <c r="H22" s="459">
        <f t="shared" si="0"/>
        <v>0</v>
      </c>
      <c r="I22" s="459">
        <f t="shared" si="1"/>
        <v>177694</v>
      </c>
      <c r="J22" s="460"/>
    </row>
    <row r="23" spans="1:10" ht="131.25">
      <c r="A23" s="1070" t="s">
        <v>350</v>
      </c>
      <c r="B23" s="310" t="s">
        <v>1681</v>
      </c>
      <c r="C23" s="508">
        <v>32870</v>
      </c>
      <c r="D23" s="508"/>
      <c r="E23" s="508">
        <v>32870</v>
      </c>
      <c r="F23" s="75"/>
      <c r="G23" s="75"/>
      <c r="H23" s="459">
        <f t="shared" si="0"/>
        <v>0</v>
      </c>
      <c r="I23" s="459">
        <f t="shared" si="1"/>
        <v>65740</v>
      </c>
      <c r="J23" s="460"/>
    </row>
    <row r="24" spans="1:10">
      <c r="A24" s="1073"/>
      <c r="B24" s="467" t="s">
        <v>253</v>
      </c>
      <c r="C24" s="510">
        <f>C23</f>
        <v>32870</v>
      </c>
      <c r="D24" s="510">
        <f>D23</f>
        <v>0</v>
      </c>
      <c r="E24" s="510">
        <f>E23</f>
        <v>32870</v>
      </c>
      <c r="F24" s="75"/>
      <c r="G24" s="75"/>
      <c r="H24" s="459">
        <f t="shared" si="0"/>
        <v>0</v>
      </c>
      <c r="I24" s="459">
        <f t="shared" si="1"/>
        <v>65740</v>
      </c>
      <c r="J24" s="460"/>
    </row>
    <row r="25" spans="1:10" ht="131.25">
      <c r="A25" s="1070" t="s">
        <v>459</v>
      </c>
      <c r="B25" s="310" t="s">
        <v>1681</v>
      </c>
      <c r="C25" s="508">
        <v>73310</v>
      </c>
      <c r="D25" s="508"/>
      <c r="E25" s="508">
        <v>73310</v>
      </c>
      <c r="F25" s="75"/>
      <c r="G25" s="75"/>
      <c r="H25" s="459">
        <f t="shared" si="0"/>
        <v>0</v>
      </c>
      <c r="I25" s="459">
        <f t="shared" si="1"/>
        <v>146620</v>
      </c>
      <c r="J25" s="460"/>
    </row>
    <row r="26" spans="1:10">
      <c r="A26" s="1073"/>
      <c r="B26" s="467" t="s">
        <v>253</v>
      </c>
      <c r="C26" s="510">
        <f>C25</f>
        <v>73310</v>
      </c>
      <c r="D26" s="510">
        <f>D25</f>
        <v>0</v>
      </c>
      <c r="E26" s="510">
        <f>E25</f>
        <v>73310</v>
      </c>
      <c r="F26" s="75"/>
      <c r="G26" s="75"/>
      <c r="H26" s="459">
        <f t="shared" si="0"/>
        <v>0</v>
      </c>
      <c r="I26" s="459">
        <f t="shared" si="1"/>
        <v>146620</v>
      </c>
      <c r="J26" s="460"/>
    </row>
    <row r="27" spans="1:10" ht="131.25">
      <c r="A27" s="1070" t="s">
        <v>2536</v>
      </c>
      <c r="B27" s="310" t="s">
        <v>1681</v>
      </c>
      <c r="C27" s="508">
        <v>17434</v>
      </c>
      <c r="D27" s="508"/>
      <c r="E27" s="508">
        <v>17434</v>
      </c>
      <c r="F27" s="75"/>
      <c r="G27" s="75"/>
      <c r="H27" s="459">
        <f t="shared" si="0"/>
        <v>0</v>
      </c>
      <c r="I27" s="459">
        <f t="shared" si="1"/>
        <v>34868</v>
      </c>
      <c r="J27" s="460"/>
    </row>
    <row r="28" spans="1:10">
      <c r="A28" s="1073"/>
      <c r="B28" s="467" t="s">
        <v>253</v>
      </c>
      <c r="C28" s="510">
        <f>C27</f>
        <v>17434</v>
      </c>
      <c r="D28" s="510">
        <f>D27</f>
        <v>0</v>
      </c>
      <c r="E28" s="510">
        <f>E27</f>
        <v>17434</v>
      </c>
      <c r="F28" s="75"/>
      <c r="G28" s="75"/>
      <c r="H28" s="459">
        <f t="shared" si="0"/>
        <v>0</v>
      </c>
      <c r="I28" s="459">
        <f t="shared" si="1"/>
        <v>34868</v>
      </c>
      <c r="J28" s="460"/>
    </row>
    <row r="29" spans="1:10" s="5" customFormat="1" hidden="1">
      <c r="A29" s="341"/>
      <c r="B29" s="342"/>
      <c r="C29" s="346"/>
      <c r="D29" s="346"/>
      <c r="E29" s="327"/>
      <c r="F29" s="75"/>
      <c r="G29" s="75"/>
      <c r="H29" s="136">
        <f t="shared" si="0"/>
        <v>0</v>
      </c>
      <c r="I29" s="136">
        <f t="shared" si="1"/>
        <v>0</v>
      </c>
      <c r="J29" s="73"/>
    </row>
    <row r="30" spans="1:10">
      <c r="A30" s="1075" t="s">
        <v>83</v>
      </c>
      <c r="B30" s="1076"/>
      <c r="C30" s="512">
        <f>C9+C11+C13+C15+C17+C20+C22+C24+C26+C28</f>
        <v>559234</v>
      </c>
      <c r="D30" s="512">
        <f>D9+D11+D13+D15+D17+D20+D22+D24+D26+D28</f>
        <v>0</v>
      </c>
      <c r="E30" s="512">
        <f>E9+E11+E13+E15+E17+E20+E22+E24+E26+E28</f>
        <v>559234</v>
      </c>
      <c r="F30" s="311" t="e">
        <f>F9+F11+F13+F15+F17+F20+F22+#REF!+#REF!+#REF!+F24+F26</f>
        <v>#REF!</v>
      </c>
      <c r="G30" s="311" t="e">
        <f>G9+G11+G13+G15+G17+G20+G22+#REF!+#REF!+#REF!+G24+G26</f>
        <v>#REF!</v>
      </c>
      <c r="H30" s="459">
        <f t="shared" si="0"/>
        <v>0</v>
      </c>
      <c r="I30" s="459">
        <f t="shared" si="1"/>
        <v>1118468</v>
      </c>
      <c r="J30" s="460"/>
    </row>
    <row r="31" spans="1:10">
      <c r="A31" s="519"/>
      <c r="B31" s="520"/>
      <c r="C31" s="533"/>
      <c r="D31" s="533"/>
      <c r="E31" s="533"/>
      <c r="F31" s="153"/>
      <c r="G31" s="153"/>
      <c r="H31" s="459">
        <v>1</v>
      </c>
      <c r="I31" s="459">
        <v>1</v>
      </c>
    </row>
    <row r="32" spans="1:10">
      <c r="A32" s="519"/>
      <c r="B32" s="520"/>
      <c r="C32" s="533"/>
      <c r="D32" s="533"/>
      <c r="E32" s="533"/>
      <c r="F32" s="153"/>
      <c r="G32" s="153"/>
      <c r="H32" s="459">
        <v>1</v>
      </c>
      <c r="I32" s="459">
        <v>1</v>
      </c>
    </row>
    <row r="33" spans="1:9">
      <c r="A33" s="489" t="s">
        <v>271</v>
      </c>
      <c r="B33" s="490"/>
      <c r="C33" s="491"/>
      <c r="D33" s="492"/>
      <c r="E33" s="490" t="s">
        <v>272</v>
      </c>
      <c r="F33" s="153"/>
      <c r="G33" s="153"/>
      <c r="H33" s="459">
        <v>1</v>
      </c>
      <c r="I33" s="459">
        <v>1</v>
      </c>
    </row>
    <row r="34" spans="1:9">
      <c r="A34" s="519"/>
      <c r="B34" s="520"/>
      <c r="C34" s="533"/>
      <c r="D34" s="533"/>
      <c r="E34" s="533"/>
      <c r="F34" s="153"/>
      <c r="G34" s="153"/>
      <c r="H34" s="459">
        <v>1</v>
      </c>
      <c r="I34" s="459">
        <v>1</v>
      </c>
    </row>
    <row r="35" spans="1:9">
      <c r="A35" s="519"/>
      <c r="B35" s="520"/>
      <c r="C35" s="533"/>
      <c r="D35" s="533"/>
      <c r="E35" s="533"/>
      <c r="F35" s="153"/>
      <c r="G35" s="153"/>
      <c r="H35" s="459">
        <v>1</v>
      </c>
      <c r="I35" s="459">
        <v>1</v>
      </c>
    </row>
    <row r="36" spans="1:9" hidden="1">
      <c r="E36" s="480"/>
      <c r="F36" s="221"/>
      <c r="H36" s="459">
        <v>1</v>
      </c>
      <c r="I36" s="459">
        <v>1</v>
      </c>
    </row>
    <row r="37" spans="1:9" s="5" customFormat="1" hidden="1">
      <c r="A37" s="154"/>
      <c r="B37" s="251"/>
      <c r="C37" s="240"/>
      <c r="D37" s="240"/>
      <c r="E37" s="240"/>
      <c r="F37" s="153"/>
      <c r="G37" s="153"/>
      <c r="H37" s="136">
        <v>1</v>
      </c>
      <c r="I37" s="136">
        <f>SUM(C37:E37)</f>
        <v>0</v>
      </c>
    </row>
    <row r="38" spans="1:9" s="5" customFormat="1" hidden="1">
      <c r="A38" s="152"/>
      <c r="B38" s="242"/>
      <c r="C38" s="241">
        <f>C30-дод1!C137</f>
        <v>0</v>
      </c>
      <c r="D38" s="241">
        <f>D30-дод1!D137</f>
        <v>0</v>
      </c>
      <c r="E38" s="241">
        <f>E30-дод1!E137</f>
        <v>0</v>
      </c>
      <c r="F38" s="241" t="e">
        <f>F30-дод1!F141</f>
        <v>#REF!</v>
      </c>
      <c r="G38" s="241" t="e">
        <f>G30-дод1!G141</f>
        <v>#REF!</v>
      </c>
      <c r="H38" s="136">
        <v>1</v>
      </c>
      <c r="I38" s="136">
        <f>SUM(C38:E38)</f>
        <v>0</v>
      </c>
    </row>
    <row r="39" spans="1:9" s="51" customFormat="1" hidden="1">
      <c r="A39" s="222"/>
      <c r="B39" s="252"/>
      <c r="C39" s="253"/>
      <c r="D39" s="253"/>
      <c r="E39" s="292"/>
      <c r="F39" s="5"/>
      <c r="G39" s="5"/>
      <c r="H39" s="136">
        <v>1</v>
      </c>
      <c r="I39" s="136">
        <f>SUM(C39:E39)</f>
        <v>0</v>
      </c>
    </row>
    <row r="40" spans="1:9" s="5" customFormat="1" hidden="1">
      <c r="A40" s="152"/>
      <c r="B40" s="242"/>
      <c r="C40" s="241"/>
      <c r="D40" s="241"/>
      <c r="E40" s="151"/>
      <c r="F40" s="55" t="e">
        <f>F30-дод1!F142</f>
        <v>#REF!</v>
      </c>
      <c r="G40" s="55" t="e">
        <f>G30-дод1!G142</f>
        <v>#REF!</v>
      </c>
      <c r="H40" s="136">
        <v>1</v>
      </c>
      <c r="I40" s="136">
        <f>SUM(C40:E40)</f>
        <v>0</v>
      </c>
    </row>
    <row r="41" spans="1:9" s="5" customFormat="1" hidden="1">
      <c r="C41" s="242"/>
      <c r="D41" s="242"/>
      <c r="E41" s="242"/>
      <c r="H41" s="5">
        <v>1</v>
      </c>
    </row>
    <row r="42" spans="1:9" hidden="1"/>
    <row r="43" spans="1:9" hidden="1">
      <c r="B43" s="480" t="s">
        <v>96</v>
      </c>
      <c r="C43" s="497">
        <f>дод1!C137</f>
        <v>559234</v>
      </c>
      <c r="D43" s="497">
        <f>дод1!D137</f>
        <v>0</v>
      </c>
      <c r="E43" s="497">
        <f>дод1!E137</f>
        <v>559234</v>
      </c>
      <c r="F43" s="241">
        <f>дод1!F137</f>
        <v>559234</v>
      </c>
      <c r="G43" s="241">
        <f>дод1!G137</f>
        <v>1677702</v>
      </c>
    </row>
    <row r="44" spans="1:9" hidden="1">
      <c r="B44" s="480" t="s">
        <v>1618</v>
      </c>
      <c r="C44" s="497">
        <f>C30-C43</f>
        <v>0</v>
      </c>
      <c r="D44" s="497">
        <f>D30-D43</f>
        <v>0</v>
      </c>
      <c r="E44" s="497">
        <f>E30-E43</f>
        <v>0</v>
      </c>
      <c r="F44" s="241" t="e">
        <f>F43-F40</f>
        <v>#REF!</v>
      </c>
      <c r="G44" s="241" t="e">
        <f>G43-G40</f>
        <v>#REF!</v>
      </c>
    </row>
    <row r="45" spans="1:9" hidden="1"/>
    <row r="46" spans="1:9" hidden="1"/>
    <row r="47" spans="1:9" hidden="1"/>
    <row r="48" spans="1:9" hidden="1"/>
    <row r="49" hidden="1"/>
  </sheetData>
  <autoFilter ref="I1:I41">
    <filterColumn colId="0">
      <customFilters and="1">
        <customFilter operator="greaterThan" val="0"/>
      </customFilters>
    </filterColumn>
  </autoFilter>
  <mergeCells count="12">
    <mergeCell ref="A16:A17"/>
    <mergeCell ref="A25:A26"/>
    <mergeCell ref="A30:B30"/>
    <mergeCell ref="A18:A20"/>
    <mergeCell ref="A21:A22"/>
    <mergeCell ref="A23:A24"/>
    <mergeCell ref="A4:F4"/>
    <mergeCell ref="A8:A9"/>
    <mergeCell ref="A10:A11"/>
    <mergeCell ref="A12:A13"/>
    <mergeCell ref="A14:A15"/>
    <mergeCell ref="A27:A28"/>
  </mergeCells>
  <printOptions horizontalCentered="1"/>
  <pageMargins left="0.39370078740157483" right="0" top="7.874015748031496E-2" bottom="0" header="0" footer="0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Q54"/>
  <sheetViews>
    <sheetView view="pageBreakPreview" zoomScale="75" zoomScaleNormal="65" zoomScaleSheetLayoutView="7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15" sqref="C15"/>
    </sheetView>
  </sheetViews>
  <sheetFormatPr defaultRowHeight="18.75"/>
  <cols>
    <col min="1" max="1" width="26.85546875" style="493" customWidth="1"/>
    <col min="2" max="2" width="44.42578125" style="480" customWidth="1"/>
    <col min="3" max="3" width="20.7109375" style="480" customWidth="1"/>
    <col min="4" max="4" width="22.5703125" style="480" customWidth="1"/>
    <col min="5" max="5" width="21.5703125" style="440" customWidth="1"/>
    <col min="6" max="6" width="16.85546875" style="5" hidden="1" customWidth="1"/>
    <col min="7" max="7" width="13.7109375" style="5" hidden="1" customWidth="1"/>
    <col min="8" max="8" width="16.42578125" style="302" hidden="1" customWidth="1"/>
    <col min="9" max="9" width="17.140625" style="302" hidden="1" customWidth="1"/>
    <col min="10" max="12" width="0" style="302" hidden="1" customWidth="1"/>
    <col min="13" max="16384" width="9.140625" style="302"/>
  </cols>
  <sheetData>
    <row r="1" spans="1:43" s="458" customFormat="1" ht="20.25" customHeight="1">
      <c r="A1" s="437"/>
      <c r="B1" s="438"/>
      <c r="C1" s="438"/>
      <c r="D1" s="439" t="s">
        <v>1716</v>
      </c>
      <c r="E1" s="440"/>
      <c r="F1" s="69"/>
      <c r="G1" s="11"/>
      <c r="H1" s="457"/>
      <c r="I1" s="457">
        <v>1</v>
      </c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457"/>
      <c r="AC1" s="457"/>
      <c r="AD1" s="457"/>
      <c r="AE1" s="457"/>
      <c r="AF1" s="457"/>
      <c r="AG1" s="457"/>
      <c r="AH1" s="457"/>
      <c r="AI1" s="457"/>
      <c r="AJ1" s="457"/>
      <c r="AK1" s="457"/>
      <c r="AL1" s="457"/>
      <c r="AM1" s="457"/>
      <c r="AN1" s="457"/>
      <c r="AO1" s="457"/>
      <c r="AP1" s="457"/>
      <c r="AQ1" s="457"/>
    </row>
    <row r="2" spans="1:43" s="458" customFormat="1" ht="18" customHeight="1">
      <c r="A2" s="441"/>
      <c r="B2" s="442"/>
      <c r="C2" s="442"/>
      <c r="D2" s="439" t="s">
        <v>476</v>
      </c>
      <c r="E2" s="440"/>
      <c r="F2" s="69"/>
      <c r="G2" s="11"/>
      <c r="H2" s="457"/>
      <c r="I2" s="457">
        <v>1</v>
      </c>
      <c r="J2" s="457"/>
      <c r="K2" s="457"/>
      <c r="L2" s="503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  <c r="AQ2" s="457"/>
    </row>
    <row r="3" spans="1:43" s="458" customFormat="1" ht="18" customHeight="1">
      <c r="A3" s="441"/>
      <c r="B3" s="442"/>
      <c r="C3" s="442"/>
      <c r="D3" s="439" t="s">
        <v>3247</v>
      </c>
      <c r="E3" s="440"/>
      <c r="F3" s="69"/>
      <c r="G3" s="11"/>
      <c r="H3" s="457"/>
      <c r="I3" s="457">
        <v>1</v>
      </c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  <c r="W3" s="457"/>
      <c r="X3" s="457"/>
      <c r="Y3" s="457"/>
      <c r="Z3" s="457"/>
      <c r="AA3" s="457"/>
      <c r="AB3" s="457"/>
      <c r="AC3" s="457"/>
      <c r="AD3" s="457"/>
      <c r="AE3" s="457"/>
      <c r="AF3" s="457"/>
      <c r="AG3" s="457"/>
      <c r="AH3" s="457"/>
      <c r="AI3" s="457"/>
      <c r="AJ3" s="457"/>
      <c r="AK3" s="457"/>
      <c r="AL3" s="457"/>
      <c r="AM3" s="457"/>
      <c r="AN3" s="457"/>
      <c r="AO3" s="457"/>
      <c r="AP3" s="457"/>
      <c r="AQ3" s="457"/>
    </row>
    <row r="4" spans="1:43" s="458" customFormat="1" ht="37.5" customHeight="1">
      <c r="A4" s="1083" t="s">
        <v>1699</v>
      </c>
      <c r="B4" s="1083"/>
      <c r="C4" s="1083"/>
      <c r="D4" s="1083"/>
      <c r="E4" s="1084"/>
      <c r="F4" s="1085"/>
      <c r="G4" s="3"/>
      <c r="H4" s="457"/>
      <c r="I4" s="457">
        <v>1</v>
      </c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57"/>
      <c r="W4" s="457"/>
      <c r="X4" s="457"/>
      <c r="Y4" s="457"/>
      <c r="Z4" s="457"/>
      <c r="AA4" s="457"/>
      <c r="AB4" s="457"/>
      <c r="AC4" s="457"/>
      <c r="AD4" s="457"/>
      <c r="AE4" s="457"/>
      <c r="AF4" s="457"/>
      <c r="AG4" s="457"/>
      <c r="AH4" s="457"/>
      <c r="AI4" s="457"/>
      <c r="AJ4" s="457"/>
      <c r="AK4" s="457"/>
      <c r="AL4" s="457"/>
      <c r="AM4" s="457"/>
      <c r="AN4" s="457"/>
      <c r="AO4" s="457"/>
      <c r="AP4" s="457"/>
      <c r="AQ4" s="457"/>
    </row>
    <row r="5" spans="1:43" ht="16.5" customHeight="1">
      <c r="A5" s="443"/>
      <c r="B5" s="444"/>
      <c r="C5" s="444"/>
      <c r="D5" s="444"/>
      <c r="E5" s="445" t="s">
        <v>383</v>
      </c>
      <c r="F5" s="70"/>
      <c r="G5" s="71"/>
      <c r="I5" s="302">
        <v>1</v>
      </c>
    </row>
    <row r="6" spans="1:43" ht="54.75" customHeight="1">
      <c r="A6" s="450" t="s">
        <v>117</v>
      </c>
      <c r="B6" s="479" t="s">
        <v>105</v>
      </c>
      <c r="C6" s="479" t="s">
        <v>302</v>
      </c>
      <c r="D6" s="448" t="s">
        <v>180</v>
      </c>
      <c r="E6" s="449" t="s">
        <v>181</v>
      </c>
      <c r="F6" s="70"/>
      <c r="G6" s="71"/>
      <c r="I6" s="302">
        <v>1</v>
      </c>
    </row>
    <row r="7" spans="1:43" ht="18" customHeight="1">
      <c r="A7" s="450">
        <v>1</v>
      </c>
      <c r="B7" s="479">
        <v>2</v>
      </c>
      <c r="C7" s="479">
        <v>3</v>
      </c>
      <c r="D7" s="448">
        <v>4</v>
      </c>
      <c r="E7" s="449">
        <v>5</v>
      </c>
      <c r="F7" s="70"/>
      <c r="G7" s="71"/>
      <c r="I7" s="302">
        <v>1</v>
      </c>
    </row>
    <row r="8" spans="1:43" ht="75">
      <c r="A8" s="1070" t="s">
        <v>806</v>
      </c>
      <c r="B8" s="376" t="s">
        <v>1062</v>
      </c>
      <c r="C8" s="471">
        <v>1070000</v>
      </c>
      <c r="D8" s="471"/>
      <c r="E8" s="452">
        <v>1070000</v>
      </c>
      <c r="F8" s="75"/>
      <c r="G8" s="75"/>
      <c r="H8" s="459">
        <f>E8+D8-C8</f>
        <v>0</v>
      </c>
      <c r="I8" s="459">
        <f>SUM(C8:E8)</f>
        <v>2140000</v>
      </c>
      <c r="J8" s="460"/>
    </row>
    <row r="9" spans="1:43">
      <c r="A9" s="1073"/>
      <c r="B9" s="467" t="s">
        <v>253</v>
      </c>
      <c r="C9" s="466">
        <f>SUM(C8:C8)</f>
        <v>1070000</v>
      </c>
      <c r="D9" s="466">
        <f>SUM(D8:D8)</f>
        <v>0</v>
      </c>
      <c r="E9" s="466">
        <f>SUM(E8:E8)</f>
        <v>1070000</v>
      </c>
      <c r="F9" s="75"/>
      <c r="G9" s="75"/>
      <c r="H9" s="459">
        <f t="shared" ref="H9:H35" si="0">E9+D9-C9</f>
        <v>0</v>
      </c>
      <c r="I9" s="459">
        <f t="shared" ref="I9:I16" si="1">SUM(C9:E9)</f>
        <v>2140000</v>
      </c>
      <c r="J9" s="460"/>
    </row>
    <row r="10" spans="1:43" ht="93.75">
      <c r="A10" s="1070" t="s">
        <v>321</v>
      </c>
      <c r="B10" s="376" t="s">
        <v>1734</v>
      </c>
      <c r="C10" s="456">
        <v>68600</v>
      </c>
      <c r="D10" s="455"/>
      <c r="E10" s="456">
        <v>68600</v>
      </c>
      <c r="F10" s="75"/>
      <c r="G10" s="75"/>
      <c r="H10" s="459">
        <f t="shared" si="0"/>
        <v>0</v>
      </c>
      <c r="I10" s="459">
        <f t="shared" si="1"/>
        <v>137200</v>
      </c>
      <c r="J10" s="460"/>
    </row>
    <row r="11" spans="1:43" ht="18" customHeight="1">
      <c r="A11" s="1073"/>
      <c r="B11" s="467" t="s">
        <v>253</v>
      </c>
      <c r="C11" s="466">
        <f>C10</f>
        <v>68600</v>
      </c>
      <c r="D11" s="466">
        <f>D10</f>
        <v>0</v>
      </c>
      <c r="E11" s="466">
        <f>E10</f>
        <v>68600</v>
      </c>
      <c r="F11" s="75"/>
      <c r="G11" s="75"/>
      <c r="H11" s="459">
        <f t="shared" si="0"/>
        <v>0</v>
      </c>
      <c r="I11" s="459">
        <f t="shared" si="1"/>
        <v>137200</v>
      </c>
      <c r="J11" s="460"/>
    </row>
    <row r="12" spans="1:43" ht="51.6" customHeight="1">
      <c r="A12" s="1070" t="s">
        <v>1694</v>
      </c>
      <c r="B12" s="376" t="s">
        <v>1735</v>
      </c>
      <c r="C12" s="476">
        <v>682500</v>
      </c>
      <c r="D12" s="476"/>
      <c r="E12" s="469">
        <v>682500</v>
      </c>
      <c r="F12" s="75"/>
      <c r="G12" s="75"/>
      <c r="H12" s="459">
        <f t="shared" si="0"/>
        <v>0</v>
      </c>
      <c r="I12" s="459">
        <f t="shared" si="1"/>
        <v>1365000</v>
      </c>
      <c r="J12" s="460"/>
    </row>
    <row r="13" spans="1:43" ht="51.6" customHeight="1">
      <c r="A13" s="1071"/>
      <c r="B13" s="376" t="s">
        <v>3105</v>
      </c>
      <c r="C13" s="476">
        <v>12200</v>
      </c>
      <c r="D13" s="476"/>
      <c r="E13" s="469">
        <v>12200</v>
      </c>
      <c r="F13" s="75"/>
      <c r="G13" s="75"/>
      <c r="H13" s="459"/>
      <c r="I13" s="459"/>
      <c r="J13" s="460"/>
    </row>
    <row r="14" spans="1:43">
      <c r="A14" s="1073"/>
      <c r="B14" s="467" t="s">
        <v>253</v>
      </c>
      <c r="C14" s="466">
        <f>C12+C13</f>
        <v>694700</v>
      </c>
      <c r="D14" s="466">
        <f>D12+D13</f>
        <v>0</v>
      </c>
      <c r="E14" s="466">
        <f>E12+E13</f>
        <v>694700</v>
      </c>
      <c r="F14" s="344">
        <f>F12+F13</f>
        <v>0</v>
      </c>
      <c r="G14" s="344">
        <f>G12+G13</f>
        <v>0</v>
      </c>
      <c r="H14" s="459">
        <f t="shared" si="0"/>
        <v>0</v>
      </c>
      <c r="I14" s="459">
        <f t="shared" si="1"/>
        <v>1389400</v>
      </c>
      <c r="J14" s="460"/>
    </row>
    <row r="15" spans="1:43" ht="75">
      <c r="A15" s="1070" t="s">
        <v>51</v>
      </c>
      <c r="B15" s="376" t="s">
        <v>2427</v>
      </c>
      <c r="C15" s="476">
        <v>202637</v>
      </c>
      <c r="D15" s="476"/>
      <c r="E15" s="469">
        <v>202637</v>
      </c>
      <c r="F15" s="390"/>
      <c r="G15" s="390"/>
      <c r="H15" s="459">
        <f t="shared" si="0"/>
        <v>0</v>
      </c>
      <c r="I15" s="459">
        <f t="shared" si="1"/>
        <v>405274</v>
      </c>
      <c r="J15" s="460"/>
    </row>
    <row r="16" spans="1:43" ht="18" customHeight="1">
      <c r="A16" s="1073"/>
      <c r="B16" s="467" t="s">
        <v>253</v>
      </c>
      <c r="C16" s="534">
        <f>C15</f>
        <v>202637</v>
      </c>
      <c r="D16" s="534">
        <f>D15</f>
        <v>0</v>
      </c>
      <c r="E16" s="534">
        <f>E15</f>
        <v>202637</v>
      </c>
      <c r="F16" s="75"/>
      <c r="G16" s="75"/>
      <c r="H16" s="459">
        <f t="shared" si="0"/>
        <v>0</v>
      </c>
      <c r="I16" s="459">
        <f t="shared" si="1"/>
        <v>405274</v>
      </c>
      <c r="J16" s="460"/>
    </row>
    <row r="17" spans="1:10" s="5" customFormat="1" ht="18" hidden="1" customHeight="1">
      <c r="A17" s="1069"/>
      <c r="B17" s="333"/>
      <c r="C17" s="334"/>
      <c r="D17" s="334"/>
      <c r="E17" s="334"/>
      <c r="F17" s="136">
        <v>0</v>
      </c>
      <c r="G17" s="136">
        <v>0</v>
      </c>
      <c r="H17" s="136">
        <f t="shared" si="0"/>
        <v>0</v>
      </c>
      <c r="I17" s="136">
        <f t="shared" ref="I17:I34" si="2">SUM(C17:E17)</f>
        <v>0</v>
      </c>
      <c r="J17" s="73"/>
    </row>
    <row r="18" spans="1:10" s="5" customFormat="1" ht="18" hidden="1" customHeight="1">
      <c r="A18" s="1069"/>
      <c r="B18" s="333"/>
      <c r="C18" s="334"/>
      <c r="D18" s="334"/>
      <c r="E18" s="334"/>
      <c r="F18" s="136">
        <v>0</v>
      </c>
      <c r="G18" s="136">
        <v>0</v>
      </c>
      <c r="H18" s="136">
        <f t="shared" si="0"/>
        <v>0</v>
      </c>
      <c r="I18" s="136">
        <f t="shared" si="2"/>
        <v>0</v>
      </c>
      <c r="J18" s="73"/>
    </row>
    <row r="19" spans="1:10" s="5" customFormat="1" ht="18" hidden="1" customHeight="1">
      <c r="A19" s="1069"/>
      <c r="B19" s="247" t="s">
        <v>253</v>
      </c>
      <c r="C19" s="311">
        <f>C17+C18</f>
        <v>0</v>
      </c>
      <c r="D19" s="311">
        <f>D17+D18</f>
        <v>0</v>
      </c>
      <c r="E19" s="311">
        <f>E17+E18</f>
        <v>0</v>
      </c>
      <c r="F19" s="136">
        <v>0</v>
      </c>
      <c r="G19" s="136">
        <v>66800</v>
      </c>
      <c r="H19" s="136">
        <f t="shared" si="0"/>
        <v>0</v>
      </c>
      <c r="I19" s="136">
        <f t="shared" si="2"/>
        <v>0</v>
      </c>
      <c r="J19" s="73"/>
    </row>
    <row r="20" spans="1:10" s="5" customFormat="1" ht="18" hidden="1" customHeight="1">
      <c r="A20" s="1086"/>
      <c r="B20" s="244"/>
      <c r="C20" s="238"/>
      <c r="D20" s="238"/>
      <c r="E20" s="238"/>
      <c r="F20" s="75"/>
      <c r="G20" s="75"/>
      <c r="H20" s="136">
        <f t="shared" si="0"/>
        <v>0</v>
      </c>
      <c r="I20" s="136">
        <f t="shared" si="2"/>
        <v>0</v>
      </c>
      <c r="J20" s="73"/>
    </row>
    <row r="21" spans="1:10" s="5" customFormat="1" ht="18" hidden="1" customHeight="1">
      <c r="A21" s="1087"/>
      <c r="B21" s="247" t="s">
        <v>253</v>
      </c>
      <c r="C21" s="248">
        <f>C20</f>
        <v>0</v>
      </c>
      <c r="D21" s="248">
        <f>D20</f>
        <v>0</v>
      </c>
      <c r="E21" s="248">
        <f>E20</f>
        <v>0</v>
      </c>
      <c r="F21" s="75"/>
      <c r="G21" s="75"/>
      <c r="H21" s="136">
        <f t="shared" si="0"/>
        <v>0</v>
      </c>
      <c r="I21" s="136">
        <f t="shared" si="2"/>
        <v>0</v>
      </c>
      <c r="J21" s="73"/>
    </row>
    <row r="22" spans="1:10" s="5" customFormat="1" ht="18" hidden="1" customHeight="1">
      <c r="A22" s="1086"/>
      <c r="B22" s="244"/>
      <c r="C22" s="238"/>
      <c r="D22" s="238"/>
      <c r="E22" s="238"/>
      <c r="F22" s="75"/>
      <c r="G22" s="75"/>
      <c r="H22" s="136">
        <f t="shared" si="0"/>
        <v>0</v>
      </c>
      <c r="I22" s="136">
        <f t="shared" si="2"/>
        <v>0</v>
      </c>
      <c r="J22" s="73"/>
    </row>
    <row r="23" spans="1:10" s="5" customFormat="1" ht="18" hidden="1" customHeight="1">
      <c r="A23" s="1087"/>
      <c r="B23" s="247" t="s">
        <v>253</v>
      </c>
      <c r="C23" s="248">
        <f>C22</f>
        <v>0</v>
      </c>
      <c r="D23" s="248">
        <f>D22</f>
        <v>0</v>
      </c>
      <c r="E23" s="248">
        <f>E22</f>
        <v>0</v>
      </c>
      <c r="F23" s="75"/>
      <c r="G23" s="75"/>
      <c r="H23" s="136">
        <f t="shared" si="0"/>
        <v>0</v>
      </c>
      <c r="I23" s="136">
        <f t="shared" si="2"/>
        <v>0</v>
      </c>
      <c r="J23" s="73"/>
    </row>
    <row r="24" spans="1:10" s="5" customFormat="1" ht="18" hidden="1" customHeight="1">
      <c r="A24" s="1086"/>
      <c r="B24" s="244"/>
      <c r="C24" s="238"/>
      <c r="D24" s="238"/>
      <c r="E24" s="238"/>
      <c r="F24" s="75"/>
      <c r="G24" s="75"/>
      <c r="H24" s="136">
        <f t="shared" si="0"/>
        <v>0</v>
      </c>
      <c r="I24" s="136">
        <f t="shared" si="2"/>
        <v>0</v>
      </c>
      <c r="J24" s="73"/>
    </row>
    <row r="25" spans="1:10" s="5" customFormat="1" ht="18" hidden="1" customHeight="1">
      <c r="A25" s="1087"/>
      <c r="B25" s="247" t="s">
        <v>253</v>
      </c>
      <c r="C25" s="248">
        <f>C24</f>
        <v>0</v>
      </c>
      <c r="D25" s="248">
        <f>D24</f>
        <v>0</v>
      </c>
      <c r="E25" s="248">
        <f>E24</f>
        <v>0</v>
      </c>
      <c r="F25" s="75"/>
      <c r="G25" s="75"/>
      <c r="H25" s="136">
        <f t="shared" si="0"/>
        <v>0</v>
      </c>
      <c r="I25" s="136">
        <f t="shared" si="2"/>
        <v>0</v>
      </c>
      <c r="J25" s="73"/>
    </row>
    <row r="26" spans="1:10" s="5" customFormat="1" ht="18" hidden="1" customHeight="1">
      <c r="A26" s="1086"/>
      <c r="B26" s="244"/>
      <c r="C26" s="238"/>
      <c r="D26" s="238"/>
      <c r="E26" s="238"/>
      <c r="F26" s="75"/>
      <c r="G26" s="75"/>
      <c r="H26" s="136">
        <f t="shared" si="0"/>
        <v>0</v>
      </c>
      <c r="I26" s="136">
        <f t="shared" si="2"/>
        <v>0</v>
      </c>
      <c r="J26" s="73"/>
    </row>
    <row r="27" spans="1:10" s="5" customFormat="1" ht="18" hidden="1" customHeight="1">
      <c r="A27" s="1087"/>
      <c r="B27" s="247" t="s">
        <v>253</v>
      </c>
      <c r="C27" s="248">
        <f>C26</f>
        <v>0</v>
      </c>
      <c r="D27" s="248">
        <f>D26</f>
        <v>0</v>
      </c>
      <c r="E27" s="248">
        <f>E26</f>
        <v>0</v>
      </c>
      <c r="F27" s="75"/>
      <c r="G27" s="75"/>
      <c r="H27" s="136">
        <f t="shared" si="0"/>
        <v>0</v>
      </c>
      <c r="I27" s="136">
        <f t="shared" si="2"/>
        <v>0</v>
      </c>
      <c r="J27" s="73"/>
    </row>
    <row r="28" spans="1:10" s="5" customFormat="1" ht="18" hidden="1" customHeight="1">
      <c r="A28" s="1086"/>
      <c r="B28" s="244"/>
      <c r="C28" s="238"/>
      <c r="D28" s="238"/>
      <c r="E28" s="238"/>
      <c r="F28" s="75"/>
      <c r="G28" s="75"/>
      <c r="H28" s="136">
        <f t="shared" si="0"/>
        <v>0</v>
      </c>
      <c r="I28" s="136">
        <f t="shared" si="2"/>
        <v>0</v>
      </c>
      <c r="J28" s="73"/>
    </row>
    <row r="29" spans="1:10" s="5" customFormat="1" ht="18" hidden="1" customHeight="1">
      <c r="A29" s="1087"/>
      <c r="B29" s="247" t="s">
        <v>253</v>
      </c>
      <c r="C29" s="248">
        <f>C28</f>
        <v>0</v>
      </c>
      <c r="D29" s="248">
        <f>D28</f>
        <v>0</v>
      </c>
      <c r="E29" s="248">
        <f>E28</f>
        <v>0</v>
      </c>
      <c r="F29" s="75"/>
      <c r="G29" s="75"/>
      <c r="H29" s="136">
        <f t="shared" si="0"/>
        <v>0</v>
      </c>
      <c r="I29" s="136">
        <f t="shared" si="2"/>
        <v>0</v>
      </c>
      <c r="J29" s="73"/>
    </row>
    <row r="30" spans="1:10" s="5" customFormat="1" ht="18" hidden="1" customHeight="1">
      <c r="A30" s="1086"/>
      <c r="B30" s="244"/>
      <c r="C30" s="238"/>
      <c r="D30" s="238"/>
      <c r="E30" s="238"/>
      <c r="F30" s="75"/>
      <c r="G30" s="75"/>
      <c r="H30" s="136">
        <f t="shared" si="0"/>
        <v>0</v>
      </c>
      <c r="I30" s="136">
        <f t="shared" si="2"/>
        <v>0</v>
      </c>
      <c r="J30" s="73"/>
    </row>
    <row r="31" spans="1:10" s="5" customFormat="1" ht="18" hidden="1" customHeight="1">
      <c r="A31" s="1087"/>
      <c r="B31" s="247" t="s">
        <v>253</v>
      </c>
      <c r="C31" s="248">
        <f>C30</f>
        <v>0</v>
      </c>
      <c r="D31" s="248">
        <f>D30</f>
        <v>0</v>
      </c>
      <c r="E31" s="248">
        <f>E30</f>
        <v>0</v>
      </c>
      <c r="F31" s="75"/>
      <c r="G31" s="75"/>
      <c r="H31" s="136">
        <f t="shared" si="0"/>
        <v>0</v>
      </c>
      <c r="I31" s="136">
        <f t="shared" si="2"/>
        <v>0</v>
      </c>
      <c r="J31" s="73"/>
    </row>
    <row r="32" spans="1:10" ht="75">
      <c r="A32" s="1070" t="s">
        <v>1838</v>
      </c>
      <c r="B32" s="376" t="s">
        <v>1839</v>
      </c>
      <c r="C32" s="476">
        <v>66480</v>
      </c>
      <c r="D32" s="476"/>
      <c r="E32" s="476">
        <v>66480</v>
      </c>
      <c r="F32" s="75"/>
      <c r="G32" s="75"/>
      <c r="H32" s="459">
        <f t="shared" si="0"/>
        <v>0</v>
      </c>
      <c r="I32" s="459">
        <f t="shared" si="2"/>
        <v>132960</v>
      </c>
      <c r="J32" s="460"/>
    </row>
    <row r="33" spans="1:10">
      <c r="A33" s="1073"/>
      <c r="B33" s="467" t="s">
        <v>253</v>
      </c>
      <c r="C33" s="534">
        <f>C32</f>
        <v>66480</v>
      </c>
      <c r="D33" s="534">
        <f>D32</f>
        <v>0</v>
      </c>
      <c r="E33" s="534">
        <f>E32</f>
        <v>66480</v>
      </c>
      <c r="F33" s="75"/>
      <c r="G33" s="75"/>
      <c r="H33" s="459">
        <f t="shared" si="0"/>
        <v>0</v>
      </c>
      <c r="I33" s="459">
        <f t="shared" si="2"/>
        <v>132960</v>
      </c>
      <c r="J33" s="460"/>
    </row>
    <row r="34" spans="1:10" s="5" customFormat="1" hidden="1">
      <c r="A34" s="74"/>
      <c r="B34" s="237"/>
      <c r="C34" s="238"/>
      <c r="D34" s="238"/>
      <c r="E34" s="239"/>
      <c r="F34" s="75"/>
      <c r="G34" s="75"/>
      <c r="H34" s="136">
        <f t="shared" si="0"/>
        <v>0</v>
      </c>
      <c r="I34" s="136">
        <f t="shared" si="2"/>
        <v>0</v>
      </c>
      <c r="J34" s="73"/>
    </row>
    <row r="35" spans="1:10">
      <c r="A35" s="1075" t="s">
        <v>83</v>
      </c>
      <c r="B35" s="1076"/>
      <c r="C35" s="474">
        <f>C9+C11+C14+C16+C19+C21+C23+C25+C27+C29+C31+C33</f>
        <v>2102417</v>
      </c>
      <c r="D35" s="474">
        <f>D9+D11+D14+D16+D19+D21+D23+D25+D27+D29+D31+D33</f>
        <v>0</v>
      </c>
      <c r="E35" s="474">
        <f>E9+E11+E14+E16+E19+E21+E23+E25+E27+E29+E31+E33</f>
        <v>2102417</v>
      </c>
      <c r="F35" s="311">
        <f>F9+F11+F14+F16+F19+F21+F23+F25+F27+F29+F31+F33</f>
        <v>0</v>
      </c>
      <c r="G35" s="311">
        <f>G9+G11+G14+G16+G19+G21+G23+G25+G27+G29+G31+G33</f>
        <v>66800</v>
      </c>
      <c r="H35" s="459">
        <f t="shared" si="0"/>
        <v>0</v>
      </c>
      <c r="I35" s="459">
        <f>SUM(C35:E35)</f>
        <v>4204834</v>
      </c>
      <c r="J35" s="460"/>
    </row>
    <row r="36" spans="1:10">
      <c r="A36" s="519"/>
      <c r="B36" s="520"/>
      <c r="C36" s="533"/>
      <c r="D36" s="533"/>
      <c r="E36" s="533"/>
      <c r="F36" s="153"/>
      <c r="G36" s="153"/>
      <c r="H36" s="459">
        <v>1</v>
      </c>
      <c r="I36" s="459">
        <v>1</v>
      </c>
    </row>
    <row r="37" spans="1:10">
      <c r="A37" s="519"/>
      <c r="B37" s="520"/>
      <c r="C37" s="533"/>
      <c r="D37" s="533"/>
      <c r="E37" s="533"/>
      <c r="F37" s="153"/>
      <c r="G37" s="153"/>
      <c r="H37" s="459">
        <v>1</v>
      </c>
      <c r="I37" s="459">
        <v>1</v>
      </c>
    </row>
    <row r="38" spans="1:10">
      <c r="A38" s="489" t="s">
        <v>271</v>
      </c>
      <c r="B38" s="490"/>
      <c r="C38" s="491"/>
      <c r="D38" s="492"/>
      <c r="E38" s="490" t="s">
        <v>272</v>
      </c>
      <c r="F38" s="153"/>
      <c r="G38" s="153"/>
      <c r="H38" s="459">
        <v>1</v>
      </c>
      <c r="I38" s="459">
        <v>1</v>
      </c>
    </row>
    <row r="39" spans="1:10">
      <c r="A39" s="519"/>
      <c r="B39" s="520"/>
      <c r="C39" s="533"/>
      <c r="D39" s="533"/>
      <c r="E39" s="533"/>
      <c r="F39" s="153"/>
      <c r="G39" s="153"/>
      <c r="H39" s="459">
        <v>1</v>
      </c>
      <c r="I39" s="459">
        <v>1</v>
      </c>
    </row>
    <row r="40" spans="1:10">
      <c r="A40" s="519"/>
      <c r="B40" s="520"/>
      <c r="C40" s="533"/>
      <c r="D40" s="533"/>
      <c r="E40" s="533"/>
      <c r="F40" s="153"/>
      <c r="G40" s="153"/>
      <c r="H40" s="459">
        <v>1</v>
      </c>
      <c r="I40" s="459">
        <v>1</v>
      </c>
    </row>
    <row r="41" spans="1:10" hidden="1">
      <c r="E41" s="480"/>
      <c r="F41" s="221"/>
      <c r="H41" s="459">
        <v>1</v>
      </c>
      <c r="I41" s="459">
        <v>1</v>
      </c>
    </row>
    <row r="42" spans="1:10" s="5" customFormat="1" hidden="1">
      <c r="A42" s="154"/>
      <c r="B42" s="251"/>
      <c r="C42" s="240"/>
      <c r="D42" s="240"/>
      <c r="E42" s="240"/>
      <c r="F42" s="153"/>
      <c r="G42" s="153"/>
      <c r="H42" s="136">
        <v>1</v>
      </c>
      <c r="I42" s="136">
        <f>SUM(C42:E42)</f>
        <v>0</v>
      </c>
    </row>
    <row r="43" spans="1:10" s="5" customFormat="1" hidden="1">
      <c r="A43" s="152"/>
      <c r="B43" s="242"/>
      <c r="C43" s="241">
        <f>C35-дод1!C140</f>
        <v>0</v>
      </c>
      <c r="D43" s="241">
        <f>D35-дод1!D140</f>
        <v>0</v>
      </c>
      <c r="E43" s="241">
        <f>E35-дод1!E140</f>
        <v>0</v>
      </c>
      <c r="F43" s="241">
        <f>F35-дод1!F141</f>
        <v>-31479447.030000001</v>
      </c>
      <c r="G43" s="241">
        <f>G35-дод1!G141</f>
        <v>-94371541.090000004</v>
      </c>
      <c r="H43" s="136">
        <v>1</v>
      </c>
      <c r="I43" s="136">
        <f>SUM(C43:E43)</f>
        <v>0</v>
      </c>
    </row>
    <row r="44" spans="1:10" s="51" customFormat="1" hidden="1">
      <c r="A44" s="222"/>
      <c r="B44" s="252"/>
      <c r="C44" s="253"/>
      <c r="D44" s="253"/>
      <c r="E44" s="292"/>
      <c r="F44" s="5"/>
      <c r="G44" s="5"/>
      <c r="H44" s="136">
        <v>1</v>
      </c>
      <c r="I44" s="136">
        <f>SUM(C44:E44)</f>
        <v>0</v>
      </c>
    </row>
    <row r="45" spans="1:10" s="5" customFormat="1" hidden="1">
      <c r="A45" s="152"/>
      <c r="B45" s="242"/>
      <c r="C45" s="241"/>
      <c r="D45" s="241"/>
      <c r="E45" s="151"/>
      <c r="F45" s="55">
        <f>F35-дод1!F142</f>
        <v>-26904342</v>
      </c>
      <c r="G45" s="55">
        <f>G35-дод1!G142</f>
        <v>-82850546</v>
      </c>
      <c r="H45" s="136">
        <v>1</v>
      </c>
      <c r="I45" s="136">
        <f>SUM(C45:E45)</f>
        <v>0</v>
      </c>
    </row>
    <row r="46" spans="1:10" s="5" customFormat="1" hidden="1">
      <c r="C46" s="242"/>
      <c r="D46" s="242"/>
      <c r="E46" s="242"/>
      <c r="H46" s="5">
        <v>1</v>
      </c>
    </row>
    <row r="47" spans="1:10" hidden="1"/>
    <row r="48" spans="1:10" hidden="1">
      <c r="B48" s="480" t="s">
        <v>96</v>
      </c>
      <c r="C48" s="497">
        <f>дод1!C140</f>
        <v>2102417</v>
      </c>
      <c r="D48" s="497">
        <f>дод1!D140</f>
        <v>0</v>
      </c>
      <c r="E48" s="497">
        <f>дод1!E140</f>
        <v>2102417</v>
      </c>
      <c r="F48" s="241">
        <f>дод1!F140</f>
        <v>2102417</v>
      </c>
      <c r="G48" s="241">
        <f>дод1!G140</f>
        <v>6307251</v>
      </c>
    </row>
    <row r="49" spans="2:7" hidden="1">
      <c r="B49" s="480" t="s">
        <v>1618</v>
      </c>
      <c r="C49" s="497">
        <f>C35-C48</f>
        <v>0</v>
      </c>
      <c r="D49" s="497">
        <f>D35-D48</f>
        <v>0</v>
      </c>
      <c r="E49" s="497">
        <f>E35-E48</f>
        <v>0</v>
      </c>
      <c r="F49" s="241">
        <f>F48-F45</f>
        <v>29006759</v>
      </c>
      <c r="G49" s="241">
        <f>G48-G45</f>
        <v>89157797</v>
      </c>
    </row>
    <row r="50" spans="2:7" hidden="1"/>
    <row r="51" spans="2:7" hidden="1"/>
    <row r="52" spans="2:7" hidden="1"/>
    <row r="53" spans="2:7" hidden="1"/>
    <row r="54" spans="2:7" hidden="1"/>
  </sheetData>
  <autoFilter ref="I1:I46">
    <filterColumn colId="0">
      <customFilters and="1">
        <customFilter operator="greaterThan" val="0"/>
      </customFilters>
    </filterColumn>
  </autoFilter>
  <mergeCells count="14">
    <mergeCell ref="A4:F4"/>
    <mergeCell ref="A8:A9"/>
    <mergeCell ref="A10:A11"/>
    <mergeCell ref="A12:A14"/>
    <mergeCell ref="A15:A16"/>
    <mergeCell ref="A17:A19"/>
    <mergeCell ref="A32:A33"/>
    <mergeCell ref="A35:B35"/>
    <mergeCell ref="A20:A21"/>
    <mergeCell ref="A22:A23"/>
    <mergeCell ref="A24:A25"/>
    <mergeCell ref="A26:A27"/>
    <mergeCell ref="A28:A29"/>
    <mergeCell ref="A30:A31"/>
  </mergeCells>
  <printOptions horizontalCentered="1"/>
  <pageMargins left="0.39370078740157483" right="0" top="7.874015748031496E-2" bottom="0" header="0" footer="0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9"/>
  <sheetViews>
    <sheetView view="pageBreakPreview" zoomScale="75" zoomScaleNormal="65" zoomScaleSheetLayoutView="75" workbookViewId="0">
      <pane xSplit="2" ySplit="7" topLeftCell="C36" activePane="bottomRight" state="frozen"/>
      <selection pane="topRight" activeCell="C1" sqref="C1"/>
      <selection pane="bottomLeft" activeCell="A8" sqref="A8"/>
      <selection pane="bottomRight" activeCell="A41" sqref="A41:IV49"/>
    </sheetView>
  </sheetViews>
  <sheetFormatPr defaultRowHeight="18.75"/>
  <cols>
    <col min="1" max="1" width="26.85546875" style="493" customWidth="1"/>
    <col min="2" max="2" width="44.42578125" style="480" customWidth="1"/>
    <col min="3" max="3" width="20.7109375" style="480" customWidth="1"/>
    <col min="4" max="4" width="22.5703125" style="480" customWidth="1"/>
    <col min="5" max="5" width="21.5703125" style="440" customWidth="1"/>
    <col min="6" max="6" width="16.85546875" style="302" hidden="1" customWidth="1"/>
    <col min="7" max="7" width="13.7109375" style="302" hidden="1" customWidth="1"/>
    <col min="8" max="8" width="16.42578125" style="302" hidden="1" customWidth="1"/>
    <col min="9" max="9" width="17.140625" style="302" hidden="1" customWidth="1"/>
    <col min="10" max="14" width="0" style="302" hidden="1" customWidth="1"/>
    <col min="15" max="16384" width="9.140625" style="302"/>
  </cols>
  <sheetData>
    <row r="1" spans="1:43" s="458" customFormat="1" ht="20.25" customHeight="1">
      <c r="A1" s="437"/>
      <c r="B1" s="438"/>
      <c r="C1" s="438"/>
      <c r="D1" s="439" t="s">
        <v>1840</v>
      </c>
      <c r="E1" s="440"/>
      <c r="G1" s="502"/>
      <c r="H1" s="457"/>
      <c r="I1" s="457">
        <v>1</v>
      </c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457"/>
      <c r="AC1" s="457"/>
      <c r="AD1" s="457"/>
      <c r="AE1" s="457"/>
      <c r="AF1" s="457"/>
      <c r="AG1" s="457"/>
      <c r="AH1" s="457"/>
      <c r="AI1" s="457"/>
      <c r="AJ1" s="457"/>
      <c r="AK1" s="457"/>
      <c r="AL1" s="457"/>
      <c r="AM1" s="457"/>
      <c r="AN1" s="457"/>
      <c r="AO1" s="457"/>
      <c r="AP1" s="457"/>
      <c r="AQ1" s="457"/>
    </row>
    <row r="2" spans="1:43" s="458" customFormat="1" ht="18" customHeight="1">
      <c r="A2" s="441"/>
      <c r="B2" s="442"/>
      <c r="C2" s="442"/>
      <c r="D2" s="439" t="s">
        <v>476</v>
      </c>
      <c r="E2" s="440"/>
      <c r="G2" s="502"/>
      <c r="H2" s="457"/>
      <c r="I2" s="457">
        <v>1</v>
      </c>
      <c r="J2" s="457"/>
      <c r="K2" s="457"/>
      <c r="L2" s="503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  <c r="AQ2" s="457"/>
    </row>
    <row r="3" spans="1:43" s="458" customFormat="1" ht="18" customHeight="1">
      <c r="A3" s="441"/>
      <c r="B3" s="442"/>
      <c r="C3" s="442"/>
      <c r="D3" s="439" t="s">
        <v>3247</v>
      </c>
      <c r="E3" s="440"/>
      <c r="G3" s="502"/>
      <c r="H3" s="457"/>
      <c r="I3" s="457">
        <v>1</v>
      </c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  <c r="W3" s="457"/>
      <c r="X3" s="457"/>
      <c r="Y3" s="457"/>
      <c r="Z3" s="457"/>
      <c r="AA3" s="457"/>
      <c r="AB3" s="457"/>
      <c r="AC3" s="457"/>
      <c r="AD3" s="457"/>
      <c r="AE3" s="457"/>
      <c r="AF3" s="457"/>
      <c r="AG3" s="457"/>
      <c r="AH3" s="457"/>
      <c r="AI3" s="457"/>
      <c r="AJ3" s="457"/>
      <c r="AK3" s="457"/>
      <c r="AL3" s="457"/>
      <c r="AM3" s="457"/>
      <c r="AN3" s="457"/>
      <c r="AO3" s="457"/>
      <c r="AP3" s="457"/>
      <c r="AQ3" s="457"/>
    </row>
    <row r="4" spans="1:43" s="458" customFormat="1" ht="63.75" customHeight="1">
      <c r="A4" s="1083" t="s">
        <v>1841</v>
      </c>
      <c r="B4" s="1083"/>
      <c r="C4" s="1083"/>
      <c r="D4" s="1083"/>
      <c r="E4" s="1083"/>
      <c r="F4" s="1083"/>
      <c r="G4" s="504"/>
      <c r="H4" s="457"/>
      <c r="I4" s="457">
        <v>1</v>
      </c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57"/>
      <c r="W4" s="457"/>
      <c r="X4" s="457"/>
      <c r="Y4" s="457"/>
      <c r="Z4" s="457"/>
      <c r="AA4" s="457"/>
      <c r="AB4" s="457"/>
      <c r="AC4" s="457"/>
      <c r="AD4" s="457"/>
      <c r="AE4" s="457"/>
      <c r="AF4" s="457"/>
      <c r="AG4" s="457"/>
      <c r="AH4" s="457"/>
      <c r="AI4" s="457"/>
      <c r="AJ4" s="457"/>
      <c r="AK4" s="457"/>
      <c r="AL4" s="457"/>
      <c r="AM4" s="457"/>
      <c r="AN4" s="457"/>
      <c r="AO4" s="457"/>
      <c r="AP4" s="457"/>
      <c r="AQ4" s="457"/>
    </row>
    <row r="5" spans="1:43" ht="16.5" customHeight="1">
      <c r="A5" s="443"/>
      <c r="B5" s="444"/>
      <c r="C5" s="444"/>
      <c r="D5" s="444"/>
      <c r="E5" s="445" t="s">
        <v>383</v>
      </c>
      <c r="F5" s="505"/>
      <c r="G5" s="506"/>
      <c r="I5" s="302">
        <v>1</v>
      </c>
    </row>
    <row r="6" spans="1:43" ht="54.75" customHeight="1">
      <c r="A6" s="450" t="s">
        <v>117</v>
      </c>
      <c r="B6" s="479" t="s">
        <v>105</v>
      </c>
      <c r="C6" s="479" t="s">
        <v>302</v>
      </c>
      <c r="D6" s="448" t="s">
        <v>180</v>
      </c>
      <c r="E6" s="449" t="s">
        <v>181</v>
      </c>
      <c r="F6" s="505"/>
      <c r="G6" s="506"/>
      <c r="I6" s="302">
        <v>1</v>
      </c>
    </row>
    <row r="7" spans="1:43" ht="18" customHeight="1">
      <c r="A7" s="450">
        <v>1</v>
      </c>
      <c r="B7" s="479">
        <v>2</v>
      </c>
      <c r="C7" s="479">
        <v>3</v>
      </c>
      <c r="D7" s="448">
        <v>4</v>
      </c>
      <c r="E7" s="449">
        <v>5</v>
      </c>
      <c r="F7" s="505"/>
      <c r="G7" s="506"/>
      <c r="I7" s="302">
        <v>1</v>
      </c>
    </row>
    <row r="8" spans="1:43" ht="195" customHeight="1">
      <c r="A8" s="1088" t="s">
        <v>194</v>
      </c>
      <c r="B8" s="376" t="s">
        <v>1836</v>
      </c>
      <c r="C8" s="513">
        <v>1229800</v>
      </c>
      <c r="D8" s="513">
        <v>1229800</v>
      </c>
      <c r="E8" s="378"/>
      <c r="F8" s="509"/>
      <c r="G8" s="509"/>
      <c r="H8" s="459">
        <f>E8+D8-C8</f>
        <v>0</v>
      </c>
      <c r="I8" s="459">
        <f>SUM(C8:E8)</f>
        <v>2459600</v>
      </c>
      <c r="J8" s="460"/>
    </row>
    <row r="9" spans="1:43" ht="16.5" customHeight="1">
      <c r="A9" s="1089"/>
      <c r="B9" s="467" t="s">
        <v>253</v>
      </c>
      <c r="C9" s="510">
        <f>SUM(C8:C8)</f>
        <v>1229800</v>
      </c>
      <c r="D9" s="510">
        <f>SUM(D8:D8)</f>
        <v>1229800</v>
      </c>
      <c r="E9" s="510">
        <f>SUM(E8:E8)</f>
        <v>0</v>
      </c>
      <c r="F9" s="509"/>
      <c r="G9" s="509"/>
      <c r="H9" s="459">
        <f t="shared" ref="H9:H22" si="0">E9+D9-C9</f>
        <v>0</v>
      </c>
      <c r="I9" s="459">
        <f t="shared" ref="I9:I22" si="1">SUM(C9:E9)</f>
        <v>2459600</v>
      </c>
      <c r="J9" s="460"/>
    </row>
    <row r="10" spans="1:43" ht="168.75">
      <c r="A10" s="1088" t="s">
        <v>1842</v>
      </c>
      <c r="B10" s="376" t="s">
        <v>1843</v>
      </c>
      <c r="C10" s="543">
        <v>1240887</v>
      </c>
      <c r="D10" s="511">
        <v>1240887</v>
      </c>
      <c r="E10" s="543"/>
      <c r="F10" s="509"/>
      <c r="G10" s="509"/>
      <c r="H10" s="459">
        <f t="shared" si="0"/>
        <v>0</v>
      </c>
      <c r="I10" s="459">
        <f t="shared" si="1"/>
        <v>2481774</v>
      </c>
      <c r="J10" s="460"/>
    </row>
    <row r="11" spans="1:43">
      <c r="A11" s="1089"/>
      <c r="B11" s="467" t="s">
        <v>253</v>
      </c>
      <c r="C11" s="544">
        <f>C10</f>
        <v>1240887</v>
      </c>
      <c r="D11" s="544">
        <f>D10</f>
        <v>1240887</v>
      </c>
      <c r="E11" s="544">
        <f>E10</f>
        <v>0</v>
      </c>
      <c r="F11" s="509"/>
      <c r="G11" s="509"/>
      <c r="H11" s="459">
        <f t="shared" si="0"/>
        <v>0</v>
      </c>
      <c r="I11" s="459">
        <f t="shared" si="1"/>
        <v>2481774</v>
      </c>
      <c r="J11" s="460"/>
    </row>
    <row r="12" spans="1:43" ht="112.5">
      <c r="A12" s="1070" t="s">
        <v>128</v>
      </c>
      <c r="B12" s="376" t="s">
        <v>1854</v>
      </c>
      <c r="C12" s="511">
        <v>695600</v>
      </c>
      <c r="D12" s="511">
        <v>695600</v>
      </c>
      <c r="E12" s="377"/>
      <c r="F12" s="509"/>
      <c r="G12" s="509"/>
      <c r="H12" s="459">
        <f t="shared" si="0"/>
        <v>0</v>
      </c>
      <c r="I12" s="459">
        <f t="shared" si="1"/>
        <v>1391200</v>
      </c>
      <c r="J12" s="460"/>
    </row>
    <row r="13" spans="1:43" ht="75">
      <c r="A13" s="1071"/>
      <c r="B13" s="376" t="s">
        <v>1057</v>
      </c>
      <c r="C13" s="511">
        <v>1000000</v>
      </c>
      <c r="D13" s="511">
        <v>1000000</v>
      </c>
      <c r="E13" s="377"/>
      <c r="F13" s="509"/>
      <c r="G13" s="509"/>
      <c r="H13" s="459">
        <f t="shared" si="0"/>
        <v>0</v>
      </c>
      <c r="I13" s="459">
        <f t="shared" si="1"/>
        <v>2000000</v>
      </c>
      <c r="J13" s="460"/>
    </row>
    <row r="14" spans="1:43" ht="18" customHeight="1">
      <c r="A14" s="1073"/>
      <c r="B14" s="467" t="s">
        <v>253</v>
      </c>
      <c r="C14" s="510">
        <f>C12+C13</f>
        <v>1695600</v>
      </c>
      <c r="D14" s="510">
        <f>D12+D13</f>
        <v>1695600</v>
      </c>
      <c r="E14" s="510">
        <f>E12+E13</f>
        <v>0</v>
      </c>
      <c r="F14" s="509"/>
      <c r="G14" s="509"/>
      <c r="H14" s="459">
        <f t="shared" si="0"/>
        <v>0</v>
      </c>
      <c r="I14" s="459">
        <f t="shared" si="1"/>
        <v>3391200</v>
      </c>
      <c r="J14" s="460"/>
    </row>
    <row r="15" spans="1:43" ht="93.75">
      <c r="A15" s="1070" t="s">
        <v>808</v>
      </c>
      <c r="B15" s="376" t="s">
        <v>1866</v>
      </c>
      <c r="C15" s="511">
        <v>1060891</v>
      </c>
      <c r="D15" s="511">
        <v>1060891</v>
      </c>
      <c r="E15" s="377"/>
      <c r="F15" s="509"/>
      <c r="G15" s="509"/>
      <c r="H15" s="459">
        <f t="shared" si="0"/>
        <v>0</v>
      </c>
      <c r="I15" s="459">
        <f t="shared" si="1"/>
        <v>2121782</v>
      </c>
      <c r="J15" s="460"/>
    </row>
    <row r="16" spans="1:43" ht="18" customHeight="1">
      <c r="A16" s="1073"/>
      <c r="B16" s="467" t="s">
        <v>253</v>
      </c>
      <c r="C16" s="544">
        <f>C15</f>
        <v>1060891</v>
      </c>
      <c r="D16" s="544">
        <f>D15</f>
        <v>1060891</v>
      </c>
      <c r="E16" s="544">
        <f>E15</f>
        <v>0</v>
      </c>
      <c r="F16" s="509"/>
      <c r="G16" s="509"/>
      <c r="H16" s="459">
        <f t="shared" si="0"/>
        <v>0</v>
      </c>
      <c r="I16" s="459">
        <f t="shared" si="1"/>
        <v>2121782</v>
      </c>
      <c r="J16" s="460"/>
    </row>
    <row r="17" spans="1:10" ht="56.25">
      <c r="A17" s="1068" t="s">
        <v>951</v>
      </c>
      <c r="B17" s="376" t="s">
        <v>1864</v>
      </c>
      <c r="C17" s="508">
        <v>1400000</v>
      </c>
      <c r="D17" s="508">
        <v>1400000</v>
      </c>
      <c r="E17" s="508"/>
      <c r="F17" s="459">
        <v>0</v>
      </c>
      <c r="G17" s="459">
        <v>0</v>
      </c>
      <c r="H17" s="459">
        <f t="shared" si="0"/>
        <v>0</v>
      </c>
      <c r="I17" s="459">
        <f t="shared" si="1"/>
        <v>2800000</v>
      </c>
      <c r="J17" s="460"/>
    </row>
    <row r="18" spans="1:10" ht="18" customHeight="1">
      <c r="A18" s="1068"/>
      <c r="B18" s="467" t="s">
        <v>253</v>
      </c>
      <c r="C18" s="540">
        <f>C17</f>
        <v>1400000</v>
      </c>
      <c r="D18" s="540">
        <f>D17</f>
        <v>1400000</v>
      </c>
      <c r="E18" s="540">
        <f>E17</f>
        <v>0</v>
      </c>
      <c r="F18" s="459">
        <v>0</v>
      </c>
      <c r="G18" s="459">
        <v>66800</v>
      </c>
      <c r="H18" s="459">
        <f t="shared" si="0"/>
        <v>0</v>
      </c>
      <c r="I18" s="459">
        <f t="shared" si="1"/>
        <v>2800000</v>
      </c>
      <c r="J18" s="460"/>
    </row>
    <row r="19" spans="1:10" ht="75">
      <c r="A19" s="1070" t="s">
        <v>46</v>
      </c>
      <c r="B19" s="376" t="s">
        <v>1705</v>
      </c>
      <c r="C19" s="513">
        <f>2044300</f>
        <v>2044300</v>
      </c>
      <c r="D19" s="513">
        <v>2044300</v>
      </c>
      <c r="E19" s="378"/>
      <c r="F19" s="509"/>
      <c r="G19" s="509"/>
      <c r="H19" s="459">
        <f t="shared" si="0"/>
        <v>0</v>
      </c>
      <c r="I19" s="459">
        <f t="shared" si="1"/>
        <v>4088600</v>
      </c>
      <c r="J19" s="460"/>
    </row>
    <row r="20" spans="1:10" ht="18" customHeight="1">
      <c r="A20" s="1073"/>
      <c r="B20" s="467" t="s">
        <v>253</v>
      </c>
      <c r="C20" s="510">
        <f>C19</f>
        <v>2044300</v>
      </c>
      <c r="D20" s="510">
        <f>D19</f>
        <v>2044300</v>
      </c>
      <c r="E20" s="510">
        <f>E19</f>
        <v>0</v>
      </c>
      <c r="F20" s="509"/>
      <c r="G20" s="509"/>
      <c r="H20" s="459">
        <f t="shared" si="0"/>
        <v>0</v>
      </c>
      <c r="I20" s="459">
        <f t="shared" si="1"/>
        <v>4088600</v>
      </c>
      <c r="J20" s="460"/>
    </row>
    <row r="21" spans="1:10" ht="108" customHeight="1">
      <c r="A21" s="1070" t="s">
        <v>137</v>
      </c>
      <c r="B21" s="376" t="s">
        <v>2530</v>
      </c>
      <c r="C21" s="508">
        <v>973902</v>
      </c>
      <c r="D21" s="508">
        <v>973902</v>
      </c>
      <c r="E21" s="508"/>
      <c r="F21" s="509"/>
      <c r="G21" s="509"/>
      <c r="H21" s="459">
        <f t="shared" si="0"/>
        <v>0</v>
      </c>
      <c r="I21" s="459">
        <f t="shared" si="1"/>
        <v>1947804</v>
      </c>
      <c r="J21" s="460"/>
    </row>
    <row r="22" spans="1:10" ht="27.6" customHeight="1">
      <c r="A22" s="1073"/>
      <c r="B22" s="467" t="s">
        <v>253</v>
      </c>
      <c r="C22" s="510">
        <f>C21</f>
        <v>973902</v>
      </c>
      <c r="D22" s="510">
        <f>D21</f>
        <v>973902</v>
      </c>
      <c r="E22" s="510">
        <f>E21</f>
        <v>0</v>
      </c>
      <c r="F22" s="509"/>
      <c r="G22" s="509"/>
      <c r="H22" s="459">
        <f t="shared" si="0"/>
        <v>0</v>
      </c>
      <c r="I22" s="459">
        <f t="shared" si="1"/>
        <v>1947804</v>
      </c>
      <c r="J22" s="460"/>
    </row>
    <row r="23" spans="1:10" ht="75">
      <c r="A23" s="1070" t="s">
        <v>806</v>
      </c>
      <c r="B23" s="376" t="s">
        <v>3128</v>
      </c>
      <c r="C23" s="536">
        <v>214195</v>
      </c>
      <c r="D23" s="536">
        <v>214195</v>
      </c>
      <c r="E23" s="537"/>
      <c r="F23" s="509"/>
      <c r="G23" s="509"/>
      <c r="H23" s="459">
        <f t="shared" ref="H23:H34" si="2">E23+D23-C23</f>
        <v>0</v>
      </c>
      <c r="I23" s="459">
        <f t="shared" ref="I23:I34" si="3">SUM(C23:E23)</f>
        <v>428390</v>
      </c>
      <c r="J23" s="460"/>
    </row>
    <row r="24" spans="1:10" ht="75">
      <c r="A24" s="1071"/>
      <c r="B24" s="376" t="s">
        <v>3129</v>
      </c>
      <c r="C24" s="538">
        <v>153301</v>
      </c>
      <c r="D24" s="538">
        <v>153301</v>
      </c>
      <c r="E24" s="515"/>
      <c r="F24" s="509"/>
      <c r="G24" s="509"/>
      <c r="H24" s="459"/>
      <c r="I24" s="459"/>
      <c r="J24" s="460"/>
    </row>
    <row r="25" spans="1:10" ht="18" customHeight="1">
      <c r="A25" s="1073"/>
      <c r="B25" s="467" t="s">
        <v>253</v>
      </c>
      <c r="C25" s="544">
        <f>C23+C24</f>
        <v>367496</v>
      </c>
      <c r="D25" s="544">
        <f>D23+D24</f>
        <v>367496</v>
      </c>
      <c r="E25" s="544">
        <f>E23+E24</f>
        <v>0</v>
      </c>
      <c r="F25" s="509"/>
      <c r="G25" s="509"/>
      <c r="H25" s="459">
        <f t="shared" si="2"/>
        <v>0</v>
      </c>
      <c r="I25" s="459">
        <f t="shared" si="3"/>
        <v>734992</v>
      </c>
      <c r="J25" s="460"/>
    </row>
    <row r="26" spans="1:10" ht="75">
      <c r="A26" s="1070" t="s">
        <v>814</v>
      </c>
      <c r="B26" s="376" t="s">
        <v>3130</v>
      </c>
      <c r="C26" s="508">
        <v>720000</v>
      </c>
      <c r="D26" s="508">
        <v>720000</v>
      </c>
      <c r="E26" s="508"/>
      <c r="F26" s="509"/>
      <c r="G26" s="509"/>
      <c r="H26" s="459">
        <f t="shared" si="2"/>
        <v>0</v>
      </c>
      <c r="I26" s="459">
        <f t="shared" si="3"/>
        <v>1440000</v>
      </c>
      <c r="J26" s="460"/>
    </row>
    <row r="27" spans="1:10" ht="18" customHeight="1">
      <c r="A27" s="1073"/>
      <c r="B27" s="467" t="s">
        <v>253</v>
      </c>
      <c r="C27" s="544">
        <f>C26</f>
        <v>720000</v>
      </c>
      <c r="D27" s="544">
        <f>D26</f>
        <v>720000</v>
      </c>
      <c r="E27" s="544">
        <f>E26</f>
        <v>0</v>
      </c>
      <c r="F27" s="509"/>
      <c r="G27" s="509"/>
      <c r="H27" s="459">
        <f t="shared" si="2"/>
        <v>0</v>
      </c>
      <c r="I27" s="459">
        <f t="shared" si="3"/>
        <v>1440000</v>
      </c>
      <c r="J27" s="460"/>
    </row>
    <row r="28" spans="1:10" ht="18" hidden="1" customHeight="1">
      <c r="A28" s="1070"/>
      <c r="B28" s="376"/>
      <c r="C28" s="508"/>
      <c r="D28" s="508"/>
      <c r="E28" s="508"/>
      <c r="F28" s="509"/>
      <c r="G28" s="509"/>
      <c r="H28" s="459">
        <f t="shared" si="2"/>
        <v>0</v>
      </c>
      <c r="I28" s="459">
        <f t="shared" si="3"/>
        <v>0</v>
      </c>
      <c r="J28" s="460"/>
    </row>
    <row r="29" spans="1:10" hidden="1">
      <c r="A29" s="1073"/>
      <c r="B29" s="467" t="s">
        <v>253</v>
      </c>
      <c r="C29" s="544">
        <f>C28</f>
        <v>0</v>
      </c>
      <c r="D29" s="544">
        <f>D28</f>
        <v>0</v>
      </c>
      <c r="E29" s="544">
        <f>E28</f>
        <v>0</v>
      </c>
      <c r="F29" s="509"/>
      <c r="G29" s="509"/>
      <c r="H29" s="459">
        <f t="shared" si="2"/>
        <v>0</v>
      </c>
      <c r="I29" s="459">
        <f t="shared" si="3"/>
        <v>0</v>
      </c>
      <c r="J29" s="460"/>
    </row>
    <row r="30" spans="1:10" hidden="1">
      <c r="A30" s="1070"/>
      <c r="B30" s="376"/>
      <c r="C30" s="508"/>
      <c r="D30" s="508"/>
      <c r="E30" s="508"/>
      <c r="F30" s="509"/>
      <c r="G30" s="509"/>
      <c r="H30" s="459">
        <f t="shared" si="2"/>
        <v>0</v>
      </c>
      <c r="I30" s="459">
        <f t="shared" si="3"/>
        <v>0</v>
      </c>
      <c r="J30" s="460"/>
    </row>
    <row r="31" spans="1:10" hidden="1">
      <c r="A31" s="1073"/>
      <c r="B31" s="467" t="s">
        <v>253</v>
      </c>
      <c r="C31" s="544">
        <f>C30</f>
        <v>0</v>
      </c>
      <c r="D31" s="544">
        <f>D30</f>
        <v>0</v>
      </c>
      <c r="E31" s="544">
        <f>E30</f>
        <v>0</v>
      </c>
      <c r="F31" s="509"/>
      <c r="G31" s="509"/>
      <c r="H31" s="459">
        <f t="shared" si="2"/>
        <v>0</v>
      </c>
      <c r="I31" s="459">
        <f t="shared" si="3"/>
        <v>0</v>
      </c>
      <c r="J31" s="460"/>
    </row>
    <row r="32" spans="1:10" hidden="1">
      <c r="A32" s="1088"/>
      <c r="B32" s="376"/>
      <c r="C32" s="543"/>
      <c r="D32" s="511"/>
      <c r="E32" s="543"/>
      <c r="F32" s="509"/>
      <c r="G32" s="509"/>
      <c r="H32" s="459">
        <f t="shared" si="2"/>
        <v>0</v>
      </c>
      <c r="I32" s="459">
        <f t="shared" si="3"/>
        <v>0</v>
      </c>
      <c r="J32" s="460"/>
    </row>
    <row r="33" spans="1:10" hidden="1">
      <c r="A33" s="1089"/>
      <c r="B33" s="467" t="s">
        <v>253</v>
      </c>
      <c r="C33" s="544">
        <f>C32</f>
        <v>0</v>
      </c>
      <c r="D33" s="544">
        <f>D32</f>
        <v>0</v>
      </c>
      <c r="E33" s="544">
        <f>E32</f>
        <v>0</v>
      </c>
      <c r="F33" s="509"/>
      <c r="G33" s="509"/>
      <c r="H33" s="459">
        <f t="shared" si="2"/>
        <v>0</v>
      </c>
      <c r="I33" s="459">
        <f t="shared" si="3"/>
        <v>0</v>
      </c>
      <c r="J33" s="460"/>
    </row>
    <row r="34" spans="1:10" ht="0.75" customHeight="1">
      <c r="A34" s="450"/>
      <c r="B34" s="539"/>
      <c r="C34" s="508"/>
      <c r="D34" s="508"/>
      <c r="E34" s="545"/>
      <c r="F34" s="509"/>
      <c r="G34" s="509"/>
      <c r="H34" s="459">
        <f t="shared" si="2"/>
        <v>0</v>
      </c>
      <c r="I34" s="459">
        <f t="shared" si="3"/>
        <v>0</v>
      </c>
      <c r="J34" s="460"/>
    </row>
    <row r="35" spans="1:10">
      <c r="A35" s="1075" t="s">
        <v>83</v>
      </c>
      <c r="B35" s="1076"/>
      <c r="C35" s="512">
        <f>C9+C11+C14+C16+C18+C20+C22+C25+C27+C29+C31+C33</f>
        <v>10732876</v>
      </c>
      <c r="D35" s="512">
        <f>D9+D11+D14+D16+D18+D20+D22+D25+D27+D29+D31+D33</f>
        <v>10732876</v>
      </c>
      <c r="E35" s="512">
        <f>E9+E11+E14+E16+E18+E20+E22+E25+E27+E29+E31+E33</f>
        <v>0</v>
      </c>
      <c r="F35" s="540">
        <f>F9+F11+F14+F16+F18+F20+F22+F25+F27+F29+F31+F33</f>
        <v>0</v>
      </c>
      <c r="G35" s="540">
        <f>G9+G11+G14+G16+G18+G20+G22+G25+G27+G29+G31+G33</f>
        <v>66800</v>
      </c>
      <c r="H35" s="459">
        <f>E35+D35-C35</f>
        <v>0</v>
      </c>
      <c r="I35" s="459">
        <f>SUM(C35:E35)</f>
        <v>21465752</v>
      </c>
      <c r="J35" s="460"/>
    </row>
    <row r="36" spans="1:10">
      <c r="A36" s="519"/>
      <c r="B36" s="520"/>
      <c r="C36" s="533"/>
      <c r="D36" s="533"/>
      <c r="E36" s="533"/>
      <c r="F36" s="514"/>
      <c r="G36" s="514"/>
      <c r="H36" s="459">
        <v>1</v>
      </c>
      <c r="I36" s="459">
        <v>1</v>
      </c>
    </row>
    <row r="37" spans="1:10">
      <c r="A37" s="519"/>
      <c r="B37" s="520"/>
      <c r="C37" s="533"/>
      <c r="D37" s="533"/>
      <c r="E37" s="533"/>
      <c r="F37" s="514"/>
      <c r="G37" s="514"/>
      <c r="H37" s="459">
        <v>1</v>
      </c>
      <c r="I37" s="459">
        <v>1</v>
      </c>
    </row>
    <row r="38" spans="1:10">
      <c r="A38" s="489" t="s">
        <v>271</v>
      </c>
      <c r="B38" s="490"/>
      <c r="C38" s="491"/>
      <c r="D38" s="492"/>
      <c r="E38" s="490" t="s">
        <v>272</v>
      </c>
      <c r="F38" s="514"/>
      <c r="G38" s="514"/>
      <c r="H38" s="459">
        <v>1</v>
      </c>
      <c r="I38" s="459">
        <v>1</v>
      </c>
    </row>
    <row r="39" spans="1:10">
      <c r="A39" s="519"/>
      <c r="B39" s="520"/>
      <c r="C39" s="533"/>
      <c r="D39" s="533"/>
      <c r="E39" s="533"/>
      <c r="F39" s="514"/>
      <c r="G39" s="514"/>
      <c r="H39" s="459">
        <v>1</v>
      </c>
      <c r="I39" s="459">
        <v>1</v>
      </c>
    </row>
    <row r="40" spans="1:10">
      <c r="A40" s="519"/>
      <c r="B40" s="520"/>
      <c r="C40" s="533"/>
      <c r="D40" s="533"/>
      <c r="E40" s="533"/>
      <c r="F40" s="514"/>
      <c r="G40" s="514"/>
      <c r="H40" s="459">
        <v>1</v>
      </c>
      <c r="I40" s="459">
        <v>1</v>
      </c>
    </row>
    <row r="41" spans="1:10" hidden="1">
      <c r="E41" s="480"/>
      <c r="F41" s="526"/>
      <c r="H41" s="459">
        <v>1</v>
      </c>
      <c r="I41" s="459">
        <v>1</v>
      </c>
    </row>
    <row r="42" spans="1:10" hidden="1">
      <c r="A42" s="519"/>
      <c r="B42" s="520"/>
      <c r="C42" s="533"/>
      <c r="D42" s="533"/>
      <c r="E42" s="533"/>
      <c r="F42" s="514"/>
      <c r="G42" s="514"/>
      <c r="H42" s="459">
        <v>1</v>
      </c>
      <c r="I42" s="459">
        <f>SUM(C42:E42)</f>
        <v>0</v>
      </c>
    </row>
    <row r="43" spans="1:10" hidden="1">
      <c r="C43" s="497">
        <f>C35-дод1!C138</f>
        <v>0</v>
      </c>
      <c r="D43" s="497">
        <f>D35-дод1!D138</f>
        <v>0</v>
      </c>
      <c r="E43" s="497">
        <f>E35-дод1!E138</f>
        <v>0</v>
      </c>
      <c r="F43" s="497">
        <f>F35-дод1!F141</f>
        <v>-31479447.030000001</v>
      </c>
      <c r="G43" s="497">
        <f>G35-дод1!G141</f>
        <v>-94371541.090000004</v>
      </c>
      <c r="H43" s="459">
        <v>1</v>
      </c>
      <c r="I43" s="459">
        <f>SUM(C43:E43)</f>
        <v>0</v>
      </c>
    </row>
    <row r="44" spans="1:10" s="463" customFormat="1" hidden="1">
      <c r="A44" s="494"/>
      <c r="B44" s="495"/>
      <c r="C44" s="496"/>
      <c r="D44" s="496"/>
      <c r="E44" s="541"/>
      <c r="F44" s="302"/>
      <c r="G44" s="302"/>
      <c r="H44" s="459">
        <v>1</v>
      </c>
      <c r="I44" s="459">
        <f>SUM(C44:E44)</f>
        <v>0</v>
      </c>
    </row>
    <row r="45" spans="1:10" hidden="1">
      <c r="C45" s="497"/>
      <c r="D45" s="497"/>
      <c r="E45" s="542"/>
      <c r="F45" s="501">
        <f>F35-дод1!F142</f>
        <v>-26904342</v>
      </c>
      <c r="G45" s="501">
        <f>G35-дод1!G142</f>
        <v>-82850546</v>
      </c>
      <c r="H45" s="459">
        <v>1</v>
      </c>
      <c r="I45" s="459">
        <f>SUM(C45:E45)</f>
        <v>0</v>
      </c>
    </row>
    <row r="46" spans="1:10" hidden="1">
      <c r="A46" s="302"/>
      <c r="B46" s="302"/>
      <c r="E46" s="480"/>
      <c r="H46" s="302">
        <v>1</v>
      </c>
    </row>
    <row r="47" spans="1:10" hidden="1"/>
    <row r="48" spans="1:10" hidden="1">
      <c r="B48" s="480" t="s">
        <v>96</v>
      </c>
      <c r="C48" s="497">
        <f>дод1!C138</f>
        <v>10732876</v>
      </c>
      <c r="D48" s="497">
        <f>дод1!D138</f>
        <v>10732876</v>
      </c>
      <c r="E48" s="497">
        <f>дод1!E138</f>
        <v>0</v>
      </c>
      <c r="F48" s="497">
        <f>дод1!F140</f>
        <v>2102417</v>
      </c>
      <c r="G48" s="497">
        <f>дод1!G140</f>
        <v>6307251</v>
      </c>
    </row>
    <row r="49" spans="2:7" hidden="1">
      <c r="B49" s="480" t="s">
        <v>1618</v>
      </c>
      <c r="C49" s="497">
        <f>C35-C48</f>
        <v>0</v>
      </c>
      <c r="D49" s="497">
        <f>D35-D48</f>
        <v>0</v>
      </c>
      <c r="E49" s="497">
        <f>E35-E48</f>
        <v>0</v>
      </c>
      <c r="F49" s="497">
        <f>F48-F45</f>
        <v>29006759</v>
      </c>
      <c r="G49" s="497">
        <f>G48-G45</f>
        <v>89157797</v>
      </c>
    </row>
  </sheetData>
  <autoFilter ref="I1:I46"/>
  <mergeCells count="14">
    <mergeCell ref="A4:F4"/>
    <mergeCell ref="A8:A9"/>
    <mergeCell ref="A10:A11"/>
    <mergeCell ref="A12:A14"/>
    <mergeCell ref="A15:A16"/>
    <mergeCell ref="A17:A18"/>
    <mergeCell ref="A32:A33"/>
    <mergeCell ref="A35:B35"/>
    <mergeCell ref="A19:A20"/>
    <mergeCell ref="A21:A22"/>
    <mergeCell ref="A23:A25"/>
    <mergeCell ref="A26:A27"/>
    <mergeCell ref="A28:A29"/>
    <mergeCell ref="A30:A31"/>
  </mergeCells>
  <printOptions horizontalCentered="1"/>
  <pageMargins left="0.39370078740157483" right="0" top="7.874015748031496E-2" bottom="0" header="0" footer="0"/>
  <pageSetup paperSize="9"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O39"/>
  <sheetViews>
    <sheetView view="pageBreakPreview" topLeftCell="A15" zoomScale="75" zoomScaleNormal="75" zoomScaleSheetLayoutView="75" workbookViewId="0">
      <selection activeCell="A31" sqref="A31:IV39"/>
    </sheetView>
  </sheetViews>
  <sheetFormatPr defaultRowHeight="12.75"/>
  <cols>
    <col min="1" max="1" width="10.42578125" customWidth="1"/>
    <col min="2" max="2" width="69.42578125" customWidth="1"/>
    <col min="3" max="3" width="21.42578125" customWidth="1"/>
    <col min="4" max="4" width="23.140625" customWidth="1"/>
    <col min="5" max="5" width="21.7109375" customWidth="1"/>
    <col min="6" max="6" width="22.85546875" customWidth="1"/>
    <col min="7" max="7" width="0.42578125" hidden="1" customWidth="1"/>
    <col min="8" max="8" width="30.42578125" hidden="1" customWidth="1"/>
    <col min="9" max="9" width="15.7109375" hidden="1" customWidth="1"/>
    <col min="10" max="10" width="15" hidden="1" customWidth="1"/>
    <col min="11" max="11" width="0" hidden="1" customWidth="1"/>
  </cols>
  <sheetData>
    <row r="1" spans="1:10" ht="18.75">
      <c r="A1" s="2"/>
      <c r="B1" s="11"/>
      <c r="C1" s="11"/>
      <c r="E1" s="11" t="s">
        <v>388</v>
      </c>
    </row>
    <row r="2" spans="1:10" ht="18.75">
      <c r="B2" s="18"/>
      <c r="C2" s="18"/>
      <c r="E2" s="11" t="s">
        <v>476</v>
      </c>
    </row>
    <row r="3" spans="1:10" ht="18.75">
      <c r="A3" s="2"/>
      <c r="B3" s="11"/>
      <c r="C3" s="11"/>
      <c r="E3" s="11" t="s">
        <v>3247</v>
      </c>
      <c r="F3" s="11"/>
      <c r="G3" s="11"/>
      <c r="H3" s="11"/>
    </row>
    <row r="4" spans="1:10" ht="16.5">
      <c r="A4" s="2"/>
      <c r="B4" s="8"/>
      <c r="C4" s="8"/>
      <c r="D4" s="2"/>
    </row>
    <row r="5" spans="1:10" ht="22.5">
      <c r="A5" s="1092" t="s">
        <v>982</v>
      </c>
      <c r="B5" s="1092"/>
      <c r="C5" s="1092"/>
      <c r="D5" s="1092"/>
      <c r="E5" s="1092"/>
      <c r="F5" s="1092"/>
      <c r="G5" s="1092"/>
    </row>
    <row r="6" spans="1:10" ht="18.75">
      <c r="A6" s="9"/>
      <c r="B6" s="9"/>
      <c r="C6" s="9"/>
      <c r="F6" s="40" t="s">
        <v>383</v>
      </c>
    </row>
    <row r="7" spans="1:10" ht="21.75" customHeight="1">
      <c r="A7" s="1093" t="s">
        <v>193</v>
      </c>
      <c r="B7" s="1093" t="s">
        <v>84</v>
      </c>
      <c r="C7" s="1097" t="s">
        <v>302</v>
      </c>
      <c r="D7" s="1095" t="s">
        <v>81</v>
      </c>
      <c r="E7" s="1090" t="s">
        <v>82</v>
      </c>
      <c r="F7" s="1091"/>
      <c r="H7" s="143"/>
    </row>
    <row r="8" spans="1:10" ht="37.5" customHeight="1">
      <c r="A8" s="1094"/>
      <c r="B8" s="1094"/>
      <c r="C8" s="1098"/>
      <c r="D8" s="1096"/>
      <c r="E8" s="53" t="s">
        <v>302</v>
      </c>
      <c r="F8" s="54" t="s">
        <v>146</v>
      </c>
      <c r="H8" s="139"/>
    </row>
    <row r="9" spans="1:10" ht="23.25">
      <c r="A9" s="39">
        <v>1</v>
      </c>
      <c r="B9" s="39">
        <v>2</v>
      </c>
      <c r="C9" s="39">
        <v>3</v>
      </c>
      <c r="D9" s="39">
        <v>4</v>
      </c>
      <c r="E9" s="52">
        <v>5</v>
      </c>
      <c r="F9" s="52">
        <v>6</v>
      </c>
      <c r="H9" s="140"/>
    </row>
    <row r="10" spans="1:10" ht="22.5">
      <c r="A10" s="41">
        <v>200000</v>
      </c>
      <c r="B10" s="42" t="s">
        <v>477</v>
      </c>
      <c r="C10" s="60">
        <f>C14+C11</f>
        <v>379692788.72000003</v>
      </c>
      <c r="D10" s="60">
        <f>D14+D11</f>
        <v>-188769313.58000001</v>
      </c>
      <c r="E10" s="60">
        <f>E14+E11</f>
        <v>568462102.29999995</v>
      </c>
      <c r="F10" s="60">
        <f>F14+F11</f>
        <v>439699104.35000002</v>
      </c>
      <c r="H10" s="139"/>
    </row>
    <row r="11" spans="1:10" ht="39">
      <c r="A11" s="43">
        <v>206000</v>
      </c>
      <c r="B11" s="44" t="s">
        <v>404</v>
      </c>
      <c r="C11" s="144">
        <f>SUM(C12:C13)</f>
        <v>0</v>
      </c>
      <c r="D11" s="144">
        <f>SUM(D12:D13)</f>
        <v>0</v>
      </c>
      <c r="E11" s="144">
        <f>SUM(E12:E13)</f>
        <v>0</v>
      </c>
      <c r="F11" s="144">
        <f>SUM(F12:F13)</f>
        <v>0</v>
      </c>
      <c r="H11" s="139"/>
    </row>
    <row r="12" spans="1:10" ht="22.5">
      <c r="A12" s="45">
        <v>206110</v>
      </c>
      <c r="B12" s="46" t="s">
        <v>416</v>
      </c>
      <c r="C12" s="36">
        <f>D12+E12</f>
        <v>950000000</v>
      </c>
      <c r="D12" s="36">
        <f>150000000+250000000</f>
        <v>400000000</v>
      </c>
      <c r="E12" s="36">
        <f>350000000+200000000</f>
        <v>550000000</v>
      </c>
      <c r="F12" s="227">
        <f>240215+155654100</f>
        <v>155894315</v>
      </c>
      <c r="H12" s="142"/>
    </row>
    <row r="13" spans="1:10" ht="18.75">
      <c r="A13" s="45">
        <v>206210</v>
      </c>
      <c r="B13" s="46" t="s">
        <v>292</v>
      </c>
      <c r="C13" s="36">
        <f>D13+E13</f>
        <v>-950000000</v>
      </c>
      <c r="D13" s="36">
        <f>-150000000-250000000</f>
        <v>-400000000</v>
      </c>
      <c r="E13" s="36">
        <f>-350000000-200000000</f>
        <v>-550000000</v>
      </c>
      <c r="F13" s="227">
        <f>-240215-155654100</f>
        <v>-155894315</v>
      </c>
      <c r="H13" s="141"/>
    </row>
    <row r="14" spans="1:10" ht="39">
      <c r="A14" s="43">
        <v>208000</v>
      </c>
      <c r="B14" s="44" t="s">
        <v>72</v>
      </c>
      <c r="C14" s="60">
        <f>C15-C16+C17</f>
        <v>379692788.72000003</v>
      </c>
      <c r="D14" s="144">
        <f>+D15-D16+D17</f>
        <v>-188769313.58000001</v>
      </c>
      <c r="E14" s="144">
        <f>+E15-E16+E17</f>
        <v>568462102.29999995</v>
      </c>
      <c r="F14" s="314">
        <f>+F15-F16+F17</f>
        <v>439699104.35000002</v>
      </c>
    </row>
    <row r="15" spans="1:10" ht="18.75">
      <c r="A15" s="45">
        <v>208100</v>
      </c>
      <c r="B15" s="46" t="s">
        <v>331</v>
      </c>
      <c r="C15" s="36">
        <f>D15+E15</f>
        <v>472453799.21000004</v>
      </c>
      <c r="D15" s="36">
        <f>116947140.62+4479+61564810.77+0.16+8095719.77+986849.98</f>
        <v>187599000.30000001</v>
      </c>
      <c r="E15" s="36">
        <f>11335444.91+337800.95+240215.45+162439.15+243520.22+56071.49+7780.2+116782426.54+35000+155654100</f>
        <v>284854798.91000003</v>
      </c>
      <c r="F15" s="227">
        <f>240215.45+35000+155654100</f>
        <v>155929315.44999999</v>
      </c>
      <c r="H15" s="56">
        <f>D15-D16</f>
        <v>171612090.77000001</v>
      </c>
      <c r="I15" s="56">
        <f>E15-E16</f>
        <v>208080697.94999999</v>
      </c>
      <c r="J15" s="56">
        <f>F15-F16</f>
        <v>79317700</v>
      </c>
    </row>
    <row r="16" spans="1:10" ht="18.75">
      <c r="A16" s="45">
        <v>208200</v>
      </c>
      <c r="B16" s="46" t="s">
        <v>332</v>
      </c>
      <c r="C16" s="36">
        <f t="shared" ref="C16:C28" si="0">D16+E16</f>
        <v>92761010.490000039</v>
      </c>
      <c r="D16" s="36">
        <f>187599000.3-86185300-13031704-54234550-8095719.77-4479-1735697-815000-688727-5988350-305664-526900</f>
        <v>15986909.530000012</v>
      </c>
      <c r="E16" s="36">
        <f>284854798.91-116782426-7780-8380100-35000-50000000-2770300-299591-240200-337800.95-185000-18086500-10956000</f>
        <v>76774100.960000023</v>
      </c>
      <c r="F16" s="227">
        <f>155929315.45-35000-50000000-240200-18086500-10956000</f>
        <v>76611615.449999988</v>
      </c>
    </row>
    <row r="17" spans="1:15" ht="37.5">
      <c r="A17" s="45">
        <v>208400</v>
      </c>
      <c r="B17" s="46" t="s">
        <v>323</v>
      </c>
      <c r="C17" s="36">
        <f t="shared" si="0"/>
        <v>0</v>
      </c>
      <c r="D17" s="36">
        <f>-75311400-132189073-197000-2524000-2930000-169500-1721542.73+160978-1135000-858214-15000-736814+736814-854511.62-100000-49566814-6627178+183000-2044300+438864-1120632+51063-526900-973902-38913500-6476328-3736809-16584214-190000-367496-720000-2737685-12676310-18000+70000</f>
        <v>-360381404.35000002</v>
      </c>
      <c r="E17" s="36">
        <f>75311400+132189073+197000+2524000+2930000+169500+1721542.73-160978+1135000+858214+15000+736814-736814+854511.62+100000+49566814+6627178-183000+2044300+1120632-438864-51063+526900+973902+38913500+6476328+3736809+16584214+190000+367496+720000+2737685+12676310+18000-70000</f>
        <v>360381404.35000002</v>
      </c>
      <c r="F17" s="36">
        <f>E17</f>
        <v>360381404.35000002</v>
      </c>
      <c r="H17" s="56"/>
    </row>
    <row r="18" spans="1:15" ht="18.75">
      <c r="A18" s="45"/>
      <c r="B18" s="47" t="s">
        <v>333</v>
      </c>
      <c r="C18" s="60">
        <f t="shared" si="0"/>
        <v>379692788.71999991</v>
      </c>
      <c r="D18" s="60">
        <f>D10</f>
        <v>-188769313.58000001</v>
      </c>
      <c r="E18" s="60">
        <f>E20</f>
        <v>568462102.29999995</v>
      </c>
      <c r="F18" s="60">
        <f>F20</f>
        <v>439699104.35000002</v>
      </c>
    </row>
    <row r="19" spans="1:15" ht="18.75" hidden="1">
      <c r="A19" s="48">
        <v>400000</v>
      </c>
      <c r="B19" s="42" t="s">
        <v>317</v>
      </c>
      <c r="C19" s="60"/>
      <c r="D19" s="36"/>
      <c r="E19" s="36"/>
      <c r="F19" s="36"/>
    </row>
    <row r="20" spans="1:15" ht="18.75">
      <c r="A20" s="48">
        <v>600000</v>
      </c>
      <c r="B20" s="42" t="s">
        <v>318</v>
      </c>
      <c r="C20" s="60">
        <f>D20+E20</f>
        <v>379692788.71999991</v>
      </c>
      <c r="D20" s="60">
        <f>+D24</f>
        <v>-188769313.58000001</v>
      </c>
      <c r="E20" s="60">
        <f>+E24</f>
        <v>568462102.29999995</v>
      </c>
      <c r="F20" s="60">
        <f>+F24</f>
        <v>439699104.35000002</v>
      </c>
    </row>
    <row r="21" spans="1:15" ht="39">
      <c r="A21" s="43">
        <v>601000</v>
      </c>
      <c r="B21" s="44" t="s">
        <v>404</v>
      </c>
      <c r="C21" s="36">
        <f t="shared" si="0"/>
        <v>0</v>
      </c>
      <c r="D21" s="144">
        <f>D23+D22</f>
        <v>0</v>
      </c>
      <c r="E21" s="144">
        <f>E23+E22</f>
        <v>0</v>
      </c>
      <c r="F21" s="144">
        <f>F23+F22</f>
        <v>0</v>
      </c>
    </row>
    <row r="22" spans="1:15" ht="18.75">
      <c r="A22" s="45">
        <v>601110</v>
      </c>
      <c r="B22" s="46" t="s">
        <v>416</v>
      </c>
      <c r="C22" s="36">
        <f t="shared" si="0"/>
        <v>950000000</v>
      </c>
      <c r="D22" s="36">
        <f t="shared" ref="D22:F23" si="1">D12</f>
        <v>400000000</v>
      </c>
      <c r="E22" s="36">
        <f t="shared" si="1"/>
        <v>550000000</v>
      </c>
      <c r="F22" s="36">
        <f t="shared" si="1"/>
        <v>155894315</v>
      </c>
    </row>
    <row r="23" spans="1:15" ht="18.75">
      <c r="A23" s="45">
        <v>601210</v>
      </c>
      <c r="B23" s="46" t="s">
        <v>292</v>
      </c>
      <c r="C23" s="36">
        <f t="shared" si="0"/>
        <v>-950000000</v>
      </c>
      <c r="D23" s="36">
        <f t="shared" si="1"/>
        <v>-400000000</v>
      </c>
      <c r="E23" s="36">
        <f t="shared" si="1"/>
        <v>-550000000</v>
      </c>
      <c r="F23" s="36">
        <f t="shared" si="1"/>
        <v>-155894315</v>
      </c>
    </row>
    <row r="24" spans="1:15" ht="19.5">
      <c r="A24" s="43">
        <v>602000</v>
      </c>
      <c r="B24" s="44" t="s">
        <v>64</v>
      </c>
      <c r="C24" s="60">
        <f t="shared" si="0"/>
        <v>379692788.71999991</v>
      </c>
      <c r="D24" s="144">
        <f>+D25-D26+D27</f>
        <v>-188769313.58000001</v>
      </c>
      <c r="E24" s="144">
        <f>+E25-E26+E27</f>
        <v>568462102.29999995</v>
      </c>
      <c r="F24" s="144">
        <f>+F25-F26+F27</f>
        <v>439699104.35000002</v>
      </c>
    </row>
    <row r="25" spans="1:15" ht="18.75">
      <c r="A25" s="45">
        <v>602100</v>
      </c>
      <c r="B25" s="46" t="s">
        <v>331</v>
      </c>
      <c r="C25" s="36">
        <f t="shared" si="0"/>
        <v>472453799.21000004</v>
      </c>
      <c r="D25" s="36">
        <f t="shared" ref="D25:F26" si="2">+D15</f>
        <v>187599000.30000001</v>
      </c>
      <c r="E25" s="36">
        <f t="shared" si="2"/>
        <v>284854798.91000003</v>
      </c>
      <c r="F25" s="36">
        <f t="shared" si="2"/>
        <v>155929315.44999999</v>
      </c>
    </row>
    <row r="26" spans="1:15" ht="18.75">
      <c r="A26" s="45">
        <v>602200</v>
      </c>
      <c r="B26" s="46" t="s">
        <v>332</v>
      </c>
      <c r="C26" s="36">
        <f t="shared" si="0"/>
        <v>92761010.490000039</v>
      </c>
      <c r="D26" s="36">
        <f t="shared" si="2"/>
        <v>15986909.530000012</v>
      </c>
      <c r="E26" s="36">
        <f t="shared" si="2"/>
        <v>76774100.960000023</v>
      </c>
      <c r="F26" s="36">
        <f t="shared" si="2"/>
        <v>76611615.449999988</v>
      </c>
    </row>
    <row r="27" spans="1:15" ht="37.5" customHeight="1">
      <c r="A27" s="45">
        <v>602400</v>
      </c>
      <c r="B27" s="46" t="s">
        <v>323</v>
      </c>
      <c r="C27" s="36">
        <f t="shared" si="0"/>
        <v>0</v>
      </c>
      <c r="D27" s="36">
        <f>D17</f>
        <v>-360381404.35000002</v>
      </c>
      <c r="E27" s="36">
        <f>E17</f>
        <v>360381404.35000002</v>
      </c>
      <c r="F27" s="36">
        <f>F17</f>
        <v>360381404.35000002</v>
      </c>
    </row>
    <row r="28" spans="1:15" ht="18.75">
      <c r="A28" s="45"/>
      <c r="B28" s="42" t="s">
        <v>319</v>
      </c>
      <c r="C28" s="60">
        <f t="shared" si="0"/>
        <v>379692788.71999991</v>
      </c>
      <c r="D28" s="60">
        <f>+D20</f>
        <v>-188769313.58000001</v>
      </c>
      <c r="E28" s="60">
        <f>+E20</f>
        <v>568462102.29999995</v>
      </c>
      <c r="F28" s="60">
        <f>+F20</f>
        <v>439699104.35000002</v>
      </c>
    </row>
    <row r="29" spans="1:15" ht="16.5">
      <c r="A29" s="49"/>
      <c r="B29" s="50"/>
      <c r="D29" s="7"/>
      <c r="E29" s="7"/>
      <c r="F29" s="7"/>
      <c r="G29" s="7"/>
    </row>
    <row r="30" spans="1:15" ht="21.95" customHeight="1">
      <c r="A30" s="37" t="s">
        <v>197</v>
      </c>
      <c r="B30" s="121" t="s">
        <v>271</v>
      </c>
      <c r="C30" s="121"/>
      <c r="D30" s="125"/>
      <c r="E30" s="126"/>
      <c r="F30" s="121" t="s">
        <v>272</v>
      </c>
      <c r="G30" s="13"/>
      <c r="H30" s="23"/>
      <c r="I30" s="6"/>
      <c r="J30" s="6"/>
      <c r="K30" s="4"/>
      <c r="L30" s="6"/>
      <c r="M30" s="22"/>
      <c r="N30" s="1"/>
      <c r="O30" s="1"/>
    </row>
    <row r="31" spans="1:15" hidden="1"/>
    <row r="32" spans="1:15" hidden="1">
      <c r="C32" s="57" t="b">
        <f>C28=C18</f>
        <v>1</v>
      </c>
      <c r="D32" s="57" t="b">
        <f>D28=D18</f>
        <v>1</v>
      </c>
      <c r="E32" s="57" t="b">
        <f>E28=E18</f>
        <v>1</v>
      </c>
      <c r="F32" s="57" t="b">
        <f>F28=F18</f>
        <v>1</v>
      </c>
    </row>
    <row r="33" spans="3:6" hidden="1">
      <c r="C33" s="57" t="b">
        <f>C20=C10</f>
        <v>1</v>
      </c>
      <c r="D33" s="57" t="b">
        <f>D20=D10</f>
        <v>1</v>
      </c>
      <c r="E33" s="57" t="b">
        <f>E20=E10</f>
        <v>1</v>
      </c>
      <c r="F33" s="57" t="b">
        <f>F20=F10</f>
        <v>1</v>
      </c>
    </row>
    <row r="34" spans="3:6" hidden="1"/>
    <row r="35" spans="3:6" hidden="1"/>
    <row r="36" spans="3:6" hidden="1">
      <c r="C36">
        <v>342078055.77000004</v>
      </c>
      <c r="D36">
        <v>-52787301.959999979</v>
      </c>
      <c r="E36">
        <v>394865357.73000002</v>
      </c>
      <c r="F36">
        <v>266924751.72999999</v>
      </c>
    </row>
    <row r="37" spans="3:6" hidden="1"/>
    <row r="38" spans="3:6" hidden="1">
      <c r="C38" s="56">
        <f>C28-C36</f>
        <v>37614732.949999869</v>
      </c>
      <c r="D38" s="56">
        <f>D28-D36</f>
        <v>-135982011.62000003</v>
      </c>
      <c r="E38" s="56">
        <f>E28-E36</f>
        <v>173596744.56999993</v>
      </c>
      <c r="F38" s="56">
        <f>F28-F36</f>
        <v>172774352.62000003</v>
      </c>
    </row>
    <row r="39" spans="3:6" hidden="1"/>
  </sheetData>
  <mergeCells count="6">
    <mergeCell ref="E7:F7"/>
    <mergeCell ref="A5:G5"/>
    <mergeCell ref="A7:A8"/>
    <mergeCell ref="B7:B8"/>
    <mergeCell ref="D7:D8"/>
    <mergeCell ref="C7:C8"/>
  </mergeCells>
  <phoneticPr fontId="0" type="noConversion"/>
  <pageMargins left="0.78740157480314965" right="0.78740157480314965" top="0.19" bottom="0.16" header="0.17" footer="0.15748031496062992"/>
  <pageSetup paperSize="9" scale="77" orientation="landscape" horizontalDpi="4294967295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 filterMode="1"/>
  <dimension ref="A1:BK323"/>
  <sheetViews>
    <sheetView showZeros="0" view="pageBreakPreview" zoomScale="60" zoomScaleNormal="75" workbookViewId="0">
      <pane xSplit="5" ySplit="12" topLeftCell="K286" activePane="bottomRight" state="frozen"/>
      <selection pane="topRight" activeCell="D1" sqref="D1"/>
      <selection pane="bottomLeft" activeCell="A13" sqref="A13"/>
      <selection pane="bottomRight" activeCell="A292" sqref="A292:IV323"/>
    </sheetView>
  </sheetViews>
  <sheetFormatPr defaultRowHeight="12.75"/>
  <cols>
    <col min="1" max="1" width="14.42578125" style="670" customWidth="1"/>
    <col min="2" max="2" width="12.28515625" style="670" customWidth="1"/>
    <col min="3" max="3" width="9.5703125" style="670" customWidth="1"/>
    <col min="4" max="4" width="34.5703125" style="554" customWidth="1"/>
    <col min="5" max="5" width="19.7109375" style="554" customWidth="1"/>
    <col min="6" max="6" width="18.85546875" style="554" customWidth="1"/>
    <col min="7" max="7" width="18.42578125" style="554" customWidth="1"/>
    <col min="8" max="8" width="15.140625" style="554" customWidth="1"/>
    <col min="9" max="9" width="17.5703125" style="554" customWidth="1"/>
    <col min="10" max="10" width="19.7109375" style="554" customWidth="1"/>
    <col min="11" max="11" width="16.140625" style="554" customWidth="1"/>
    <col min="12" max="12" width="15.28515625" style="554" customWidth="1"/>
    <col min="13" max="13" width="14.5703125" style="554" customWidth="1"/>
    <col min="14" max="14" width="17.42578125" style="554" customWidth="1"/>
    <col min="15" max="15" width="17" style="554" customWidth="1"/>
    <col min="16" max="16" width="18.140625" style="671" customWidth="1"/>
    <col min="17" max="17" width="17.7109375" style="554" customWidth="1"/>
    <col min="18" max="18" width="20.28515625" style="554" hidden="1" customWidth="1"/>
    <col min="19" max="19" width="22.28515625" style="556" hidden="1" customWidth="1"/>
    <col min="20" max="20" width="21.42578125" style="556" hidden="1" customWidth="1"/>
    <col min="21" max="21" width="14.28515625" style="556" hidden="1" customWidth="1"/>
    <col min="22" max="22" width="17.28515625" style="556" hidden="1" customWidth="1"/>
    <col min="23" max="23" width="12.85546875" style="556" hidden="1" customWidth="1"/>
    <col min="24" max="25" width="0" style="556" hidden="1" customWidth="1"/>
    <col min="26" max="16384" width="9.140625" style="556"/>
  </cols>
  <sheetData>
    <row r="1" spans="1:22" ht="23.25" customHeight="1">
      <c r="A1" s="552"/>
      <c r="B1" s="552"/>
      <c r="C1" s="552"/>
      <c r="D1" s="553"/>
      <c r="E1" s="553"/>
      <c r="F1" s="553"/>
      <c r="G1" s="553"/>
      <c r="H1" s="553"/>
      <c r="I1" s="553"/>
      <c r="J1" s="553"/>
      <c r="K1" s="553"/>
      <c r="M1" s="555"/>
      <c r="N1" s="1111" t="s">
        <v>389</v>
      </c>
      <c r="O1" s="1111"/>
      <c r="P1" s="1112"/>
      <c r="Q1" s="1111"/>
      <c r="R1" s="554">
        <v>1</v>
      </c>
    </row>
    <row r="2" spans="1:22" ht="16.5" customHeight="1">
      <c r="A2" s="552"/>
      <c r="B2" s="552"/>
      <c r="C2" s="552"/>
      <c r="D2" s="553"/>
      <c r="E2" s="553"/>
      <c r="F2" s="553"/>
      <c r="G2" s="553"/>
      <c r="H2" s="553"/>
      <c r="I2" s="553" t="s">
        <v>475</v>
      </c>
      <c r="J2" s="553"/>
      <c r="K2" s="555"/>
      <c r="L2" s="555"/>
      <c r="M2" s="555"/>
      <c r="N2" s="1111" t="s">
        <v>476</v>
      </c>
      <c r="O2" s="1111"/>
      <c r="P2" s="1112"/>
      <c r="Q2" s="1111"/>
      <c r="R2" s="554">
        <v>1</v>
      </c>
    </row>
    <row r="3" spans="1:22" ht="17.25" customHeight="1">
      <c r="A3" s="552"/>
      <c r="B3" s="552"/>
      <c r="C3" s="552"/>
      <c r="D3" s="553"/>
      <c r="E3" s="553"/>
      <c r="F3" s="553"/>
      <c r="G3" s="553"/>
      <c r="H3" s="553"/>
      <c r="I3" s="553"/>
      <c r="J3" s="553"/>
      <c r="K3" s="555"/>
      <c r="L3" s="557"/>
      <c r="M3" s="557"/>
      <c r="N3" s="1111" t="s">
        <v>3247</v>
      </c>
      <c r="O3" s="1111"/>
      <c r="P3" s="1112"/>
      <c r="Q3" s="1111"/>
      <c r="R3" s="554">
        <v>1</v>
      </c>
    </row>
    <row r="4" spans="1:22" ht="24.75" customHeight="1">
      <c r="A4" s="1115" t="s">
        <v>948</v>
      </c>
      <c r="B4" s="1115"/>
      <c r="C4" s="1115"/>
      <c r="D4" s="1115"/>
      <c r="E4" s="1115"/>
      <c r="F4" s="1115"/>
      <c r="G4" s="1115"/>
      <c r="H4" s="1115"/>
      <c r="I4" s="1115"/>
      <c r="J4" s="1115"/>
      <c r="K4" s="1115"/>
      <c r="L4" s="1115"/>
      <c r="M4" s="1115"/>
      <c r="N4" s="1115"/>
      <c r="O4" s="1115"/>
      <c r="P4" s="1115"/>
      <c r="Q4" s="1115"/>
      <c r="R4" s="554">
        <v>1</v>
      </c>
    </row>
    <row r="5" spans="1:22" ht="14.25" customHeight="1">
      <c r="A5" s="558"/>
      <c r="B5" s="558"/>
      <c r="C5" s="558"/>
      <c r="D5" s="559"/>
      <c r="E5" s="559"/>
      <c r="F5" s="559"/>
      <c r="G5" s="559"/>
      <c r="H5" s="559"/>
      <c r="I5" s="559"/>
      <c r="J5" s="559"/>
      <c r="K5" s="559"/>
      <c r="L5" s="556"/>
      <c r="M5" s="556"/>
      <c r="N5" s="559"/>
      <c r="O5" s="556"/>
      <c r="P5" s="554"/>
      <c r="Q5" s="560" t="s">
        <v>383</v>
      </c>
      <c r="R5" s="561">
        <v>1</v>
      </c>
    </row>
    <row r="6" spans="1:22" ht="25.5" customHeight="1">
      <c r="A6" s="1105" t="s">
        <v>5</v>
      </c>
      <c r="B6" s="1105" t="s">
        <v>305</v>
      </c>
      <c r="C6" s="1105" t="s">
        <v>6</v>
      </c>
      <c r="D6" s="1108" t="s">
        <v>306</v>
      </c>
      <c r="E6" s="1101" t="s">
        <v>81</v>
      </c>
      <c r="F6" s="1101"/>
      <c r="G6" s="1101"/>
      <c r="H6" s="1101"/>
      <c r="I6" s="1101"/>
      <c r="J6" s="1101" t="s">
        <v>82</v>
      </c>
      <c r="K6" s="1101"/>
      <c r="L6" s="1101"/>
      <c r="M6" s="1101"/>
      <c r="N6" s="1101"/>
      <c r="O6" s="1101"/>
      <c r="P6" s="1114"/>
      <c r="Q6" s="1113" t="s">
        <v>303</v>
      </c>
      <c r="R6" s="562">
        <v>1</v>
      </c>
    </row>
    <row r="7" spans="1:22" ht="16.5">
      <c r="A7" s="1106"/>
      <c r="B7" s="1106"/>
      <c r="C7" s="1106"/>
      <c r="D7" s="1109"/>
      <c r="E7" s="1103" t="s">
        <v>302</v>
      </c>
      <c r="F7" s="1102" t="s">
        <v>125</v>
      </c>
      <c r="G7" s="1104" t="s">
        <v>301</v>
      </c>
      <c r="H7" s="1104"/>
      <c r="I7" s="1102" t="s">
        <v>126</v>
      </c>
      <c r="J7" s="1103" t="s">
        <v>302</v>
      </c>
      <c r="K7" s="1102" t="s">
        <v>125</v>
      </c>
      <c r="L7" s="1104" t="s">
        <v>301</v>
      </c>
      <c r="M7" s="1104"/>
      <c r="N7" s="1102" t="s">
        <v>126</v>
      </c>
      <c r="O7" s="563" t="s">
        <v>339</v>
      </c>
      <c r="P7" s="564"/>
      <c r="Q7" s="1113"/>
      <c r="R7" s="562">
        <v>1</v>
      </c>
    </row>
    <row r="8" spans="1:22" ht="17.25" customHeight="1">
      <c r="A8" s="1106"/>
      <c r="B8" s="1106"/>
      <c r="C8" s="1106"/>
      <c r="D8" s="1109"/>
      <c r="E8" s="1103"/>
      <c r="F8" s="1102"/>
      <c r="G8" s="1104"/>
      <c r="H8" s="1104"/>
      <c r="I8" s="1102"/>
      <c r="J8" s="1103"/>
      <c r="K8" s="1102"/>
      <c r="L8" s="1104"/>
      <c r="M8" s="1104"/>
      <c r="N8" s="1102"/>
      <c r="O8" s="1103" t="s">
        <v>340</v>
      </c>
      <c r="P8" s="565" t="s">
        <v>339</v>
      </c>
      <c r="Q8" s="1113"/>
      <c r="R8" s="562">
        <v>1</v>
      </c>
    </row>
    <row r="9" spans="1:22" ht="21" customHeight="1">
      <c r="A9" s="1106"/>
      <c r="B9" s="1106"/>
      <c r="C9" s="1106"/>
      <c r="D9" s="1109"/>
      <c r="E9" s="1103"/>
      <c r="F9" s="1102"/>
      <c r="G9" s="1103" t="s">
        <v>309</v>
      </c>
      <c r="H9" s="1103" t="s">
        <v>275</v>
      </c>
      <c r="I9" s="1102"/>
      <c r="J9" s="1103"/>
      <c r="K9" s="1102"/>
      <c r="L9" s="1103" t="s">
        <v>309</v>
      </c>
      <c r="M9" s="1103" t="s">
        <v>275</v>
      </c>
      <c r="N9" s="1102"/>
      <c r="O9" s="1103"/>
      <c r="P9" s="1099" t="s">
        <v>178</v>
      </c>
      <c r="Q9" s="1113"/>
      <c r="R9" s="562">
        <v>1</v>
      </c>
    </row>
    <row r="10" spans="1:22" ht="25.5" customHeight="1">
      <c r="A10" s="1106"/>
      <c r="B10" s="1106"/>
      <c r="C10" s="1106"/>
      <c r="D10" s="1109"/>
      <c r="E10" s="1103"/>
      <c r="F10" s="1102"/>
      <c r="G10" s="1103"/>
      <c r="H10" s="1103"/>
      <c r="I10" s="1102"/>
      <c r="J10" s="1103"/>
      <c r="K10" s="1102"/>
      <c r="L10" s="1103"/>
      <c r="M10" s="1103"/>
      <c r="N10" s="1102"/>
      <c r="O10" s="1103"/>
      <c r="P10" s="1099"/>
      <c r="Q10" s="1113"/>
      <c r="R10" s="562">
        <v>1</v>
      </c>
    </row>
    <row r="11" spans="1:22" ht="90.95" customHeight="1">
      <c r="A11" s="1107"/>
      <c r="B11" s="1107"/>
      <c r="C11" s="1107"/>
      <c r="D11" s="1110"/>
      <c r="E11" s="1103"/>
      <c r="F11" s="1102"/>
      <c r="G11" s="1103"/>
      <c r="H11" s="1103"/>
      <c r="I11" s="1102"/>
      <c r="J11" s="1103"/>
      <c r="K11" s="1102"/>
      <c r="L11" s="1103"/>
      <c r="M11" s="1103"/>
      <c r="N11" s="1102"/>
      <c r="O11" s="1103"/>
      <c r="P11" s="1100"/>
      <c r="Q11" s="1113"/>
      <c r="R11" s="562">
        <v>1</v>
      </c>
    </row>
    <row r="12" spans="1:22" ht="15.75">
      <c r="A12" s="566" t="s">
        <v>487</v>
      </c>
      <c r="B12" s="566" t="s">
        <v>488</v>
      </c>
      <c r="C12" s="566" t="s">
        <v>489</v>
      </c>
      <c r="D12" s="567">
        <v>4</v>
      </c>
      <c r="E12" s="567">
        <v>5</v>
      </c>
      <c r="F12" s="567">
        <v>6</v>
      </c>
      <c r="G12" s="567">
        <v>7</v>
      </c>
      <c r="H12" s="567">
        <v>8</v>
      </c>
      <c r="I12" s="567">
        <v>9</v>
      </c>
      <c r="J12" s="567">
        <v>10</v>
      </c>
      <c r="K12" s="567">
        <v>11</v>
      </c>
      <c r="L12" s="567">
        <v>12</v>
      </c>
      <c r="M12" s="567">
        <v>13</v>
      </c>
      <c r="N12" s="567">
        <v>14</v>
      </c>
      <c r="O12" s="567">
        <v>15</v>
      </c>
      <c r="P12" s="568">
        <v>16</v>
      </c>
      <c r="Q12" s="567">
        <v>17</v>
      </c>
      <c r="R12" s="419">
        <f>+E12+J12</f>
        <v>15</v>
      </c>
      <c r="T12" s="421">
        <f>P12-O12</f>
        <v>1</v>
      </c>
      <c r="U12" s="421"/>
      <c r="V12" s="421">
        <f>O12-N12</f>
        <v>1</v>
      </c>
    </row>
    <row r="13" spans="1:22" s="572" customFormat="1" ht="15.75">
      <c r="A13" s="569" t="s">
        <v>106</v>
      </c>
      <c r="B13" s="569"/>
      <c r="C13" s="569"/>
      <c r="D13" s="570" t="s">
        <v>70</v>
      </c>
      <c r="E13" s="419">
        <f>SUM(E15:E26)-E23-E17-E21</f>
        <v>53630472</v>
      </c>
      <c r="F13" s="419">
        <f t="shared" ref="F13:Q13" si="0">SUM(F15:F26)-F23-F17-F21</f>
        <v>53630472</v>
      </c>
      <c r="G13" s="419">
        <f t="shared" si="0"/>
        <v>16066300</v>
      </c>
      <c r="H13" s="419">
        <f t="shared" si="0"/>
        <v>937900</v>
      </c>
      <c r="I13" s="419">
        <f t="shared" si="0"/>
        <v>0</v>
      </c>
      <c r="J13" s="419">
        <f t="shared" si="0"/>
        <v>17817155.949999999</v>
      </c>
      <c r="K13" s="419">
        <f t="shared" si="0"/>
        <v>596200.94999999995</v>
      </c>
      <c r="L13" s="419">
        <f t="shared" si="0"/>
        <v>0</v>
      </c>
      <c r="M13" s="419">
        <f t="shared" si="0"/>
        <v>0</v>
      </c>
      <c r="N13" s="419">
        <f t="shared" si="0"/>
        <v>17220955</v>
      </c>
      <c r="O13" s="419">
        <f t="shared" si="0"/>
        <v>16670955</v>
      </c>
      <c r="P13" s="419">
        <f t="shared" si="0"/>
        <v>16670955</v>
      </c>
      <c r="Q13" s="419">
        <f t="shared" si="0"/>
        <v>71447627.950000003</v>
      </c>
      <c r="R13" s="419">
        <f t="shared" ref="R13:R82" si="1">+E13+J13</f>
        <v>71447627.950000003</v>
      </c>
      <c r="S13" s="571">
        <f>R13-Q13</f>
        <v>0</v>
      </c>
      <c r="T13" s="421">
        <f>P13-O13</f>
        <v>0</v>
      </c>
      <c r="U13" s="421"/>
      <c r="V13" s="421">
        <f>O13-N13</f>
        <v>-550000</v>
      </c>
    </row>
    <row r="14" spans="1:22" s="572" customFormat="1" ht="15.75">
      <c r="A14" s="569" t="s">
        <v>107</v>
      </c>
      <c r="B14" s="569"/>
      <c r="C14" s="569"/>
      <c r="D14" s="570" t="s">
        <v>70</v>
      </c>
      <c r="E14" s="419">
        <f>E15+E18+E24+E25+E16+E26+E20+E19+E22</f>
        <v>53630472</v>
      </c>
      <c r="F14" s="419">
        <f t="shared" ref="F14:Q14" si="2">F15+F18+F24+F25+F16+F26+F20+F19+F22</f>
        <v>53630472</v>
      </c>
      <c r="G14" s="419">
        <f t="shared" si="2"/>
        <v>16066300</v>
      </c>
      <c r="H14" s="419">
        <f t="shared" si="2"/>
        <v>937900</v>
      </c>
      <c r="I14" s="419">
        <f t="shared" si="2"/>
        <v>0</v>
      </c>
      <c r="J14" s="419">
        <f t="shared" si="2"/>
        <v>17817155.949999999</v>
      </c>
      <c r="K14" s="419">
        <f t="shared" si="2"/>
        <v>596200.94999999995</v>
      </c>
      <c r="L14" s="419">
        <f t="shared" si="2"/>
        <v>0</v>
      </c>
      <c r="M14" s="419">
        <f t="shared" si="2"/>
        <v>0</v>
      </c>
      <c r="N14" s="419">
        <f t="shared" si="2"/>
        <v>17220955</v>
      </c>
      <c r="O14" s="419">
        <f t="shared" si="2"/>
        <v>16670955</v>
      </c>
      <c r="P14" s="419">
        <f t="shared" si="2"/>
        <v>16670955</v>
      </c>
      <c r="Q14" s="419">
        <f t="shared" si="2"/>
        <v>71447627.950000003</v>
      </c>
      <c r="R14" s="419">
        <f t="shared" si="1"/>
        <v>71447627.950000003</v>
      </c>
      <c r="S14" s="571">
        <f t="shared" ref="S14:S82" si="3">R14-Q14</f>
        <v>0</v>
      </c>
      <c r="T14" s="421">
        <f t="shared" ref="T14:T79" si="4">P14-O14</f>
        <v>0</v>
      </c>
      <c r="U14" s="421"/>
      <c r="V14" s="421">
        <f t="shared" ref="V14:V79" si="5">O14-N14</f>
        <v>-550000</v>
      </c>
    </row>
    <row r="15" spans="1:22" s="575" customFormat="1" ht="100.15" customHeight="1">
      <c r="A15" s="573" t="s">
        <v>495</v>
      </c>
      <c r="B15" s="573" t="s">
        <v>496</v>
      </c>
      <c r="C15" s="573" t="s">
        <v>7</v>
      </c>
      <c r="D15" s="574" t="s">
        <v>274</v>
      </c>
      <c r="E15" s="549">
        <f>F15+I15</f>
        <v>23595600</v>
      </c>
      <c r="F15" s="549">
        <f>22728900+1056700-190000</f>
        <v>23595600</v>
      </c>
      <c r="G15" s="549">
        <f>15337900+728400</f>
        <v>16066300</v>
      </c>
      <c r="H15" s="549">
        <f>843900+94000</f>
        <v>937900</v>
      </c>
      <c r="I15" s="549"/>
      <c r="J15" s="549">
        <f t="shared" ref="J15:J26" si="6">+K15+N15</f>
        <v>346500</v>
      </c>
      <c r="K15" s="549"/>
      <c r="L15" s="549"/>
      <c r="M15" s="549"/>
      <c r="N15" s="549">
        <f>200800-44300+190000</f>
        <v>346500</v>
      </c>
      <c r="O15" s="549">
        <f>200800-44300+190000</f>
        <v>346500</v>
      </c>
      <c r="P15" s="549">
        <f>200800-44300+190000</f>
        <v>346500</v>
      </c>
      <c r="Q15" s="549">
        <f>+J15+E15</f>
        <v>23942100</v>
      </c>
      <c r="R15" s="419">
        <f t="shared" si="1"/>
        <v>23942100</v>
      </c>
      <c r="S15" s="571">
        <f t="shared" si="3"/>
        <v>0</v>
      </c>
      <c r="T15" s="421">
        <f t="shared" si="4"/>
        <v>0</v>
      </c>
      <c r="U15" s="421"/>
      <c r="V15" s="421">
        <f t="shared" si="5"/>
        <v>0</v>
      </c>
    </row>
    <row r="16" spans="1:22" s="575" customFormat="1" ht="31.5">
      <c r="A16" s="423" t="s">
        <v>512</v>
      </c>
      <c r="B16" s="423" t="s">
        <v>10</v>
      </c>
      <c r="C16" s="423" t="s">
        <v>13</v>
      </c>
      <c r="D16" s="576" t="s">
        <v>513</v>
      </c>
      <c r="E16" s="549">
        <f>F16+I16</f>
        <v>10000</v>
      </c>
      <c r="F16" s="549">
        <f>34000-24000</f>
        <v>10000</v>
      </c>
      <c r="G16" s="549"/>
      <c r="H16" s="549"/>
      <c r="I16" s="549"/>
      <c r="J16" s="549">
        <f>+K16+N16</f>
        <v>0</v>
      </c>
      <c r="K16" s="549"/>
      <c r="L16" s="549"/>
      <c r="M16" s="549"/>
      <c r="N16" s="549"/>
      <c r="O16" s="549"/>
      <c r="P16" s="549"/>
      <c r="Q16" s="549">
        <f>+J16+E16</f>
        <v>10000</v>
      </c>
      <c r="R16" s="419">
        <f t="shared" si="1"/>
        <v>10000</v>
      </c>
      <c r="S16" s="571">
        <f t="shared" si="3"/>
        <v>0</v>
      </c>
      <c r="T16" s="421">
        <f t="shared" si="4"/>
        <v>0</v>
      </c>
      <c r="U16" s="421"/>
      <c r="V16" s="421">
        <f t="shared" si="5"/>
        <v>0</v>
      </c>
    </row>
    <row r="17" spans="1:22" s="580" customFormat="1" ht="15.75">
      <c r="A17" s="577" t="s">
        <v>500</v>
      </c>
      <c r="B17" s="577">
        <v>3240</v>
      </c>
      <c r="C17" s="577"/>
      <c r="D17" s="578" t="s">
        <v>497</v>
      </c>
      <c r="E17" s="579">
        <f>E18</f>
        <v>9751093</v>
      </c>
      <c r="F17" s="579">
        <f t="shared" ref="F17:Q17" si="7">F18</f>
        <v>9751093</v>
      </c>
      <c r="G17" s="579">
        <f t="shared" si="7"/>
        <v>0</v>
      </c>
      <c r="H17" s="579">
        <f t="shared" si="7"/>
        <v>0</v>
      </c>
      <c r="I17" s="579">
        <f t="shared" si="7"/>
        <v>0</v>
      </c>
      <c r="J17" s="579">
        <f t="shared" si="7"/>
        <v>0</v>
      </c>
      <c r="K17" s="579">
        <f t="shared" si="7"/>
        <v>0</v>
      </c>
      <c r="L17" s="579">
        <f t="shared" si="7"/>
        <v>0</v>
      </c>
      <c r="M17" s="579">
        <f t="shared" si="7"/>
        <v>0</v>
      </c>
      <c r="N17" s="579">
        <f t="shared" si="7"/>
        <v>0</v>
      </c>
      <c r="O17" s="579">
        <f t="shared" si="7"/>
        <v>0</v>
      </c>
      <c r="P17" s="579">
        <f t="shared" si="7"/>
        <v>0</v>
      </c>
      <c r="Q17" s="579">
        <f t="shared" si="7"/>
        <v>9751093</v>
      </c>
      <c r="R17" s="419">
        <f t="shared" si="1"/>
        <v>9751093</v>
      </c>
      <c r="S17" s="571">
        <f t="shared" si="3"/>
        <v>0</v>
      </c>
      <c r="T17" s="421">
        <f t="shared" si="4"/>
        <v>0</v>
      </c>
      <c r="U17" s="421"/>
      <c r="V17" s="421">
        <f t="shared" si="5"/>
        <v>0</v>
      </c>
    </row>
    <row r="18" spans="1:22" s="583" customFormat="1" ht="47.25">
      <c r="A18" s="417" t="s">
        <v>499</v>
      </c>
      <c r="B18" s="417">
        <v>3242</v>
      </c>
      <c r="C18" s="417">
        <v>1090</v>
      </c>
      <c r="D18" s="581" t="s">
        <v>498</v>
      </c>
      <c r="E18" s="582">
        <f t="shared" ref="E18:E31" si="8">F18+I18</f>
        <v>9751093</v>
      </c>
      <c r="F18" s="546">
        <f>9160000+150000+338400+10000+92693</f>
        <v>9751093</v>
      </c>
      <c r="G18" s="546"/>
      <c r="H18" s="546"/>
      <c r="I18" s="546"/>
      <c r="J18" s="546">
        <f t="shared" si="6"/>
        <v>0</v>
      </c>
      <c r="K18" s="546"/>
      <c r="L18" s="546"/>
      <c r="M18" s="546"/>
      <c r="N18" s="546"/>
      <c r="O18" s="546"/>
      <c r="P18" s="546"/>
      <c r="Q18" s="546">
        <f>+J18+E18</f>
        <v>9751093</v>
      </c>
      <c r="R18" s="419">
        <f t="shared" si="1"/>
        <v>9751093</v>
      </c>
      <c r="S18" s="571">
        <f t="shared" si="3"/>
        <v>0</v>
      </c>
      <c r="T18" s="421">
        <f t="shared" si="4"/>
        <v>0</v>
      </c>
      <c r="U18" s="421"/>
      <c r="V18" s="421">
        <f t="shared" si="5"/>
        <v>0</v>
      </c>
    </row>
    <row r="19" spans="1:22" s="575" customFormat="1" ht="78.75">
      <c r="A19" s="423" t="s">
        <v>897</v>
      </c>
      <c r="B19" s="423" t="s">
        <v>898</v>
      </c>
      <c r="C19" s="423" t="s">
        <v>899</v>
      </c>
      <c r="D19" s="584" t="s">
        <v>900</v>
      </c>
      <c r="E19" s="585">
        <f t="shared" si="8"/>
        <v>712700</v>
      </c>
      <c r="F19" s="549">
        <f>340000+372700</f>
        <v>712700</v>
      </c>
      <c r="G19" s="549"/>
      <c r="H19" s="549"/>
      <c r="I19" s="549"/>
      <c r="J19" s="549">
        <f t="shared" si="6"/>
        <v>0</v>
      </c>
      <c r="K19" s="549"/>
      <c r="L19" s="549"/>
      <c r="M19" s="549"/>
      <c r="N19" s="549"/>
      <c r="O19" s="549"/>
      <c r="P19" s="549"/>
      <c r="Q19" s="549">
        <f>+J19+E19</f>
        <v>712700</v>
      </c>
      <c r="R19" s="419">
        <f t="shared" si="1"/>
        <v>712700</v>
      </c>
      <c r="S19" s="571">
        <f t="shared" si="3"/>
        <v>0</v>
      </c>
      <c r="T19" s="421">
        <f t="shared" si="4"/>
        <v>0</v>
      </c>
      <c r="U19" s="421"/>
      <c r="V19" s="421">
        <f t="shared" si="5"/>
        <v>0</v>
      </c>
    </row>
    <row r="20" spans="1:22" s="340" customFormat="1" ht="31.5" hidden="1">
      <c r="A20" s="27" t="s">
        <v>502</v>
      </c>
      <c r="B20" s="27" t="s">
        <v>501</v>
      </c>
      <c r="C20" s="27" t="s">
        <v>358</v>
      </c>
      <c r="D20" s="26" t="s">
        <v>503</v>
      </c>
      <c r="E20" s="254">
        <f t="shared" si="8"/>
        <v>0</v>
      </c>
      <c r="F20" s="199"/>
      <c r="G20" s="199"/>
      <c r="H20" s="199"/>
      <c r="I20" s="199"/>
      <c r="J20" s="199">
        <f t="shared" si="6"/>
        <v>0</v>
      </c>
      <c r="K20" s="199"/>
      <c r="L20" s="199"/>
      <c r="M20" s="199"/>
      <c r="N20" s="199"/>
      <c r="O20" s="199"/>
      <c r="P20" s="199"/>
      <c r="Q20" s="199">
        <f>+J20+E20</f>
        <v>0</v>
      </c>
      <c r="R20" s="419">
        <f t="shared" si="1"/>
        <v>0</v>
      </c>
      <c r="S20" s="338">
        <f t="shared" si="3"/>
        <v>0</v>
      </c>
      <c r="T20" s="339">
        <f t="shared" si="4"/>
        <v>0</v>
      </c>
      <c r="U20" s="339"/>
      <c r="V20" s="339">
        <f t="shared" si="5"/>
        <v>0</v>
      </c>
    </row>
    <row r="21" spans="1:22" s="586" customFormat="1" ht="15.75">
      <c r="A21" s="577" t="s">
        <v>1942</v>
      </c>
      <c r="B21" s="577" t="s">
        <v>738</v>
      </c>
      <c r="C21" s="577"/>
      <c r="D21" s="578" t="s">
        <v>739</v>
      </c>
      <c r="E21" s="579">
        <f>E22</f>
        <v>425000</v>
      </c>
      <c r="F21" s="579">
        <f t="shared" ref="F21:Q21" si="9">F22</f>
        <v>425000</v>
      </c>
      <c r="G21" s="579">
        <f t="shared" si="9"/>
        <v>0</v>
      </c>
      <c r="H21" s="579">
        <f t="shared" si="9"/>
        <v>0</v>
      </c>
      <c r="I21" s="579">
        <f t="shared" si="9"/>
        <v>0</v>
      </c>
      <c r="J21" s="579">
        <f t="shared" si="9"/>
        <v>0</v>
      </c>
      <c r="K21" s="579">
        <f t="shared" si="9"/>
        <v>0</v>
      </c>
      <c r="L21" s="579">
        <f t="shared" si="9"/>
        <v>0</v>
      </c>
      <c r="M21" s="579">
        <f t="shared" si="9"/>
        <v>0</v>
      </c>
      <c r="N21" s="579">
        <f t="shared" si="9"/>
        <v>0</v>
      </c>
      <c r="O21" s="579">
        <f t="shared" si="9"/>
        <v>0</v>
      </c>
      <c r="P21" s="579">
        <f t="shared" si="9"/>
        <v>0</v>
      </c>
      <c r="Q21" s="579">
        <f t="shared" si="9"/>
        <v>425000</v>
      </c>
      <c r="R21" s="419">
        <f t="shared" si="1"/>
        <v>425000</v>
      </c>
      <c r="S21" s="420"/>
      <c r="T21" s="421">
        <f t="shared" si="4"/>
        <v>0</v>
      </c>
      <c r="U21" s="421"/>
      <c r="V21" s="421">
        <f t="shared" si="5"/>
        <v>0</v>
      </c>
    </row>
    <row r="22" spans="1:22" s="587" customFormat="1" ht="31.5">
      <c r="A22" s="417" t="s">
        <v>1943</v>
      </c>
      <c r="B22" s="417" t="s">
        <v>736</v>
      </c>
      <c r="C22" s="417" t="s">
        <v>358</v>
      </c>
      <c r="D22" s="581" t="s">
        <v>191</v>
      </c>
      <c r="E22" s="585">
        <f t="shared" si="8"/>
        <v>425000</v>
      </c>
      <c r="F22" s="546">
        <v>425000</v>
      </c>
      <c r="G22" s="546"/>
      <c r="H22" s="546"/>
      <c r="I22" s="546"/>
      <c r="J22" s="549">
        <f t="shared" si="6"/>
        <v>0</v>
      </c>
      <c r="K22" s="546"/>
      <c r="L22" s="546"/>
      <c r="M22" s="546"/>
      <c r="N22" s="546"/>
      <c r="O22" s="546"/>
      <c r="P22" s="546"/>
      <c r="Q22" s="549">
        <f>+J22+E22</f>
        <v>425000</v>
      </c>
      <c r="R22" s="419">
        <f t="shared" si="1"/>
        <v>425000</v>
      </c>
      <c r="S22" s="420"/>
      <c r="T22" s="421">
        <f t="shared" si="4"/>
        <v>0</v>
      </c>
      <c r="U22" s="421"/>
      <c r="V22" s="421">
        <f t="shared" si="5"/>
        <v>0</v>
      </c>
    </row>
    <row r="23" spans="1:22" s="164" customFormat="1" ht="47.25" hidden="1">
      <c r="A23" s="165" t="s">
        <v>504</v>
      </c>
      <c r="B23" s="165" t="s">
        <v>506</v>
      </c>
      <c r="C23" s="165"/>
      <c r="D23" s="162" t="s">
        <v>508</v>
      </c>
      <c r="E23" s="163">
        <f>E24</f>
        <v>0</v>
      </c>
      <c r="F23" s="163">
        <f t="shared" ref="F23:Q23" si="10">F24</f>
        <v>0</v>
      </c>
      <c r="G23" s="163">
        <f t="shared" si="10"/>
        <v>0</v>
      </c>
      <c r="H23" s="163">
        <f t="shared" si="10"/>
        <v>0</v>
      </c>
      <c r="I23" s="163">
        <f t="shared" si="10"/>
        <v>0</v>
      </c>
      <c r="J23" s="163">
        <f t="shared" si="10"/>
        <v>0</v>
      </c>
      <c r="K23" s="163">
        <f t="shared" si="10"/>
        <v>0</v>
      </c>
      <c r="L23" s="163">
        <f t="shared" si="10"/>
        <v>0</v>
      </c>
      <c r="M23" s="163">
        <f t="shared" si="10"/>
        <v>0</v>
      </c>
      <c r="N23" s="163">
        <f t="shared" si="10"/>
        <v>0</v>
      </c>
      <c r="O23" s="163">
        <f t="shared" si="10"/>
        <v>0</v>
      </c>
      <c r="P23" s="163">
        <f t="shared" si="10"/>
        <v>0</v>
      </c>
      <c r="Q23" s="163">
        <f t="shared" si="10"/>
        <v>0</v>
      </c>
      <c r="R23" s="419">
        <f t="shared" si="1"/>
        <v>0</v>
      </c>
      <c r="S23" s="169">
        <f t="shared" si="3"/>
        <v>0</v>
      </c>
      <c r="T23" s="339">
        <f t="shared" si="4"/>
        <v>0</v>
      </c>
      <c r="U23" s="339"/>
      <c r="V23" s="339">
        <f t="shared" si="5"/>
        <v>0</v>
      </c>
    </row>
    <row r="24" spans="1:22" s="180" customFormat="1" ht="47.25" hidden="1">
      <c r="A24" s="179" t="s">
        <v>505</v>
      </c>
      <c r="B24" s="179" t="s">
        <v>507</v>
      </c>
      <c r="C24" s="179" t="s">
        <v>9</v>
      </c>
      <c r="D24" s="29" t="s">
        <v>114</v>
      </c>
      <c r="E24" s="32">
        <f t="shared" si="8"/>
        <v>0</v>
      </c>
      <c r="F24" s="32"/>
      <c r="G24" s="32"/>
      <c r="H24" s="32"/>
      <c r="I24" s="32"/>
      <c r="J24" s="32">
        <f t="shared" si="6"/>
        <v>0</v>
      </c>
      <c r="K24" s="32"/>
      <c r="L24" s="32"/>
      <c r="M24" s="32"/>
      <c r="N24" s="32"/>
      <c r="O24" s="32"/>
      <c r="P24" s="32"/>
      <c r="Q24" s="32">
        <f>+J24+E24</f>
        <v>0</v>
      </c>
      <c r="R24" s="419">
        <f t="shared" si="1"/>
        <v>0</v>
      </c>
      <c r="S24" s="169">
        <f t="shared" si="3"/>
        <v>0</v>
      </c>
      <c r="T24" s="339">
        <f t="shared" si="4"/>
        <v>0</v>
      </c>
      <c r="U24" s="339"/>
      <c r="V24" s="339">
        <f t="shared" si="5"/>
        <v>0</v>
      </c>
    </row>
    <row r="25" spans="1:22" s="575" customFormat="1" ht="31.5">
      <c r="A25" s="423" t="s">
        <v>514</v>
      </c>
      <c r="B25" s="423" t="s">
        <v>515</v>
      </c>
      <c r="C25" s="423" t="s">
        <v>10</v>
      </c>
      <c r="D25" s="584" t="s">
        <v>516</v>
      </c>
      <c r="E25" s="549">
        <f>F25+I25</f>
        <v>18075773</v>
      </c>
      <c r="F25" s="549">
        <f>6019884+753483+23140+4867645-5000+305664+711597-13390+4193535+267947+462000+151871+219001+118396</f>
        <v>18075773</v>
      </c>
      <c r="G25" s="549"/>
      <c r="H25" s="549"/>
      <c r="I25" s="549"/>
      <c r="J25" s="549">
        <f>+K25+N25</f>
        <v>17192089.949999999</v>
      </c>
      <c r="K25" s="549">
        <f>258400+337800.95</f>
        <v>596200.94999999995</v>
      </c>
      <c r="L25" s="549"/>
      <c r="M25" s="549"/>
      <c r="N25" s="549">
        <f>1260000+5488298+756214-23140+5266929+5000+882232-55000-16278+13390-260000+3767279-267947-462000+171309+187999-118396</f>
        <v>16595889</v>
      </c>
      <c r="O25" s="549">
        <f>710000+5488298+756214-23140+5266929+5000+882232-55000-16278+13390-260000+3767279-267947-462000+171309+187999-118396</f>
        <v>16045889</v>
      </c>
      <c r="P25" s="549">
        <f>710000+5488298+756214-23140+5266929+5000+882232-55000-16278+13390-260000+3767279-267947-462000+171309+187999-118396</f>
        <v>16045889</v>
      </c>
      <c r="Q25" s="549">
        <f>+J25+E25</f>
        <v>35267862.950000003</v>
      </c>
      <c r="R25" s="419">
        <f t="shared" si="1"/>
        <v>35267862.950000003</v>
      </c>
      <c r="S25" s="571">
        <f t="shared" si="3"/>
        <v>0</v>
      </c>
      <c r="T25" s="421">
        <f t="shared" si="4"/>
        <v>0</v>
      </c>
      <c r="U25" s="421"/>
      <c r="V25" s="421">
        <f t="shared" si="5"/>
        <v>-550000</v>
      </c>
    </row>
    <row r="26" spans="1:22" s="575" customFormat="1" ht="63">
      <c r="A26" s="423" t="s">
        <v>509</v>
      </c>
      <c r="B26" s="423" t="s">
        <v>510</v>
      </c>
      <c r="C26" s="423" t="s">
        <v>10</v>
      </c>
      <c r="D26" s="576" t="s">
        <v>511</v>
      </c>
      <c r="E26" s="546">
        <f t="shared" si="8"/>
        <v>1060306</v>
      </c>
      <c r="F26" s="546">
        <f>212778+94000+386759+5000+51063+243541+40000+27165</f>
        <v>1060306</v>
      </c>
      <c r="G26" s="549"/>
      <c r="H26" s="549"/>
      <c r="I26" s="549"/>
      <c r="J26" s="546">
        <f t="shared" si="6"/>
        <v>278566</v>
      </c>
      <c r="K26" s="549"/>
      <c r="L26" s="549"/>
      <c r="M26" s="549"/>
      <c r="N26" s="549">
        <f>153742+125000-51063+43000+7887</f>
        <v>278566</v>
      </c>
      <c r="O26" s="549">
        <f>153742+125000-51063+43000+7887</f>
        <v>278566</v>
      </c>
      <c r="P26" s="549">
        <f>153742+125000-51063+43000+7887</f>
        <v>278566</v>
      </c>
      <c r="Q26" s="546">
        <f>+J26+F26</f>
        <v>1338872</v>
      </c>
      <c r="R26" s="419">
        <f t="shared" si="1"/>
        <v>1338872</v>
      </c>
      <c r="S26" s="571">
        <f t="shared" si="3"/>
        <v>0</v>
      </c>
      <c r="T26" s="421">
        <f t="shared" si="4"/>
        <v>0</v>
      </c>
      <c r="U26" s="421"/>
      <c r="V26" s="421">
        <f t="shared" si="5"/>
        <v>0</v>
      </c>
    </row>
    <row r="27" spans="1:22" s="591" customFormat="1" ht="31.5">
      <c r="A27" s="588" t="s">
        <v>518</v>
      </c>
      <c r="B27" s="588"/>
      <c r="C27" s="588"/>
      <c r="D27" s="589" t="s">
        <v>71</v>
      </c>
      <c r="E27" s="590">
        <f>SUM(E29:E31)</f>
        <v>3605545</v>
      </c>
      <c r="F27" s="590">
        <f t="shared" ref="F27:Q27" si="11">SUM(F29:F31)</f>
        <v>3605545</v>
      </c>
      <c r="G27" s="590">
        <f t="shared" si="11"/>
        <v>766900</v>
      </c>
      <c r="H27" s="590">
        <f t="shared" si="11"/>
        <v>160700</v>
      </c>
      <c r="I27" s="590">
        <f t="shared" si="11"/>
        <v>0</v>
      </c>
      <c r="J27" s="590">
        <f t="shared" si="11"/>
        <v>630455</v>
      </c>
      <c r="K27" s="590">
        <f t="shared" si="11"/>
        <v>54800</v>
      </c>
      <c r="L27" s="590">
        <f t="shared" si="11"/>
        <v>35100</v>
      </c>
      <c r="M27" s="590">
        <f t="shared" si="11"/>
        <v>0</v>
      </c>
      <c r="N27" s="590">
        <f t="shared" si="11"/>
        <v>575655</v>
      </c>
      <c r="O27" s="590">
        <f t="shared" si="11"/>
        <v>575655</v>
      </c>
      <c r="P27" s="590">
        <f t="shared" si="11"/>
        <v>575655</v>
      </c>
      <c r="Q27" s="590">
        <f t="shared" si="11"/>
        <v>4236000</v>
      </c>
      <c r="R27" s="419">
        <f t="shared" si="1"/>
        <v>4236000</v>
      </c>
      <c r="S27" s="571">
        <f t="shared" si="3"/>
        <v>0</v>
      </c>
      <c r="T27" s="421">
        <f t="shared" si="4"/>
        <v>0</v>
      </c>
      <c r="U27" s="421"/>
      <c r="V27" s="421">
        <f t="shared" si="5"/>
        <v>0</v>
      </c>
    </row>
    <row r="28" spans="1:22" s="591" customFormat="1" ht="31.5">
      <c r="A28" s="588" t="s">
        <v>519</v>
      </c>
      <c r="B28" s="588"/>
      <c r="C28" s="588"/>
      <c r="D28" s="589" t="s">
        <v>71</v>
      </c>
      <c r="E28" s="590">
        <f>E29+E30+E31</f>
        <v>3605545</v>
      </c>
      <c r="F28" s="590">
        <f t="shared" ref="F28:Q28" si="12">F29+F30+F31</f>
        <v>3605545</v>
      </c>
      <c r="G28" s="590">
        <f t="shared" si="12"/>
        <v>766900</v>
      </c>
      <c r="H28" s="590">
        <f t="shared" si="12"/>
        <v>160700</v>
      </c>
      <c r="I28" s="590">
        <f t="shared" si="12"/>
        <v>0</v>
      </c>
      <c r="J28" s="590">
        <f t="shared" si="12"/>
        <v>630455</v>
      </c>
      <c r="K28" s="590">
        <f t="shared" si="12"/>
        <v>54800</v>
      </c>
      <c r="L28" s="590">
        <f t="shared" si="12"/>
        <v>35100</v>
      </c>
      <c r="M28" s="590">
        <f t="shared" si="12"/>
        <v>0</v>
      </c>
      <c r="N28" s="590">
        <f t="shared" si="12"/>
        <v>575655</v>
      </c>
      <c r="O28" s="590">
        <f t="shared" si="12"/>
        <v>575655</v>
      </c>
      <c r="P28" s="590">
        <f t="shared" si="12"/>
        <v>575655</v>
      </c>
      <c r="Q28" s="590">
        <f t="shared" si="12"/>
        <v>4236000</v>
      </c>
      <c r="R28" s="419">
        <f t="shared" si="1"/>
        <v>4236000</v>
      </c>
      <c r="S28" s="571">
        <f t="shared" si="3"/>
        <v>0</v>
      </c>
      <c r="T28" s="421">
        <f t="shared" si="4"/>
        <v>0</v>
      </c>
      <c r="U28" s="421"/>
      <c r="V28" s="421">
        <f t="shared" si="5"/>
        <v>0</v>
      </c>
    </row>
    <row r="29" spans="1:22" s="575" customFormat="1" ht="47.25">
      <c r="A29" s="423" t="s">
        <v>520</v>
      </c>
      <c r="B29" s="423" t="s">
        <v>11</v>
      </c>
      <c r="C29" s="423" t="s">
        <v>12</v>
      </c>
      <c r="D29" s="584" t="s">
        <v>517</v>
      </c>
      <c r="E29" s="549">
        <f t="shared" si="8"/>
        <v>1415800</v>
      </c>
      <c r="F29" s="549">
        <v>1415800</v>
      </c>
      <c r="G29" s="549">
        <v>766900</v>
      </c>
      <c r="H29" s="549">
        <v>160700</v>
      </c>
      <c r="I29" s="549"/>
      <c r="J29" s="549">
        <f>+K29+N29</f>
        <v>69800</v>
      </c>
      <c r="K29" s="549">
        <v>54800</v>
      </c>
      <c r="L29" s="549">
        <v>35100</v>
      </c>
      <c r="M29" s="549"/>
      <c r="N29" s="549">
        <v>15000</v>
      </c>
      <c r="O29" s="549">
        <v>15000</v>
      </c>
      <c r="P29" s="549">
        <v>15000</v>
      </c>
      <c r="Q29" s="549">
        <f>+J29+E29</f>
        <v>1485600</v>
      </c>
      <c r="R29" s="419">
        <f t="shared" si="1"/>
        <v>1485600</v>
      </c>
      <c r="S29" s="571">
        <f t="shared" si="3"/>
        <v>0</v>
      </c>
      <c r="T29" s="421">
        <f t="shared" si="4"/>
        <v>0</v>
      </c>
      <c r="U29" s="421"/>
      <c r="V29" s="421">
        <f t="shared" si="5"/>
        <v>0</v>
      </c>
    </row>
    <row r="30" spans="1:22" s="575" customFormat="1" ht="31.5">
      <c r="A30" s="423" t="s">
        <v>521</v>
      </c>
      <c r="B30" s="423" t="s">
        <v>10</v>
      </c>
      <c r="C30" s="423" t="s">
        <v>13</v>
      </c>
      <c r="D30" s="576" t="s">
        <v>513</v>
      </c>
      <c r="E30" s="549">
        <f>F30+I30</f>
        <v>892800</v>
      </c>
      <c r="F30" s="549">
        <f>910800-18000</f>
        <v>892800</v>
      </c>
      <c r="G30" s="549"/>
      <c r="H30" s="549"/>
      <c r="I30" s="549"/>
      <c r="J30" s="549">
        <f>+K30+N30</f>
        <v>332600</v>
      </c>
      <c r="K30" s="549"/>
      <c r="L30" s="549"/>
      <c r="M30" s="549"/>
      <c r="N30" s="549">
        <f>782600-183000-285000+18000</f>
        <v>332600</v>
      </c>
      <c r="O30" s="549">
        <f>314600+18000</f>
        <v>332600</v>
      </c>
      <c r="P30" s="549">
        <f>314600+18000</f>
        <v>332600</v>
      </c>
      <c r="Q30" s="549">
        <f>+J30+E30</f>
        <v>1225400</v>
      </c>
      <c r="R30" s="419">
        <f t="shared" si="1"/>
        <v>1225400</v>
      </c>
      <c r="S30" s="571">
        <f t="shared" si="3"/>
        <v>0</v>
      </c>
      <c r="T30" s="421">
        <f t="shared" si="4"/>
        <v>0</v>
      </c>
      <c r="U30" s="421"/>
      <c r="V30" s="421">
        <f t="shared" si="5"/>
        <v>0</v>
      </c>
    </row>
    <row r="31" spans="1:22" s="575" customFormat="1" ht="63">
      <c r="A31" s="423" t="s">
        <v>522</v>
      </c>
      <c r="B31" s="423" t="s">
        <v>510</v>
      </c>
      <c r="C31" s="423" t="s">
        <v>10</v>
      </c>
      <c r="D31" s="576" t="s">
        <v>511</v>
      </c>
      <c r="E31" s="549">
        <f t="shared" si="8"/>
        <v>1296945</v>
      </c>
      <c r="F31" s="549">
        <f>963500+73000+257702+2743</f>
        <v>1296945</v>
      </c>
      <c r="G31" s="549"/>
      <c r="H31" s="549"/>
      <c r="I31" s="549"/>
      <c r="J31" s="549">
        <f>+K31+N31</f>
        <v>228055</v>
      </c>
      <c r="K31" s="549"/>
      <c r="L31" s="549"/>
      <c r="M31" s="549"/>
      <c r="N31" s="549">
        <f>36500+27000+42298+122257</f>
        <v>228055</v>
      </c>
      <c r="O31" s="549">
        <f>36500+27000+42298+122257</f>
        <v>228055</v>
      </c>
      <c r="P31" s="549">
        <f>36500+27000+42298+122257</f>
        <v>228055</v>
      </c>
      <c r="Q31" s="549">
        <f>+J31+E31</f>
        <v>1525000</v>
      </c>
      <c r="R31" s="419">
        <f t="shared" si="1"/>
        <v>1525000</v>
      </c>
      <c r="S31" s="571">
        <f t="shared" si="3"/>
        <v>0</v>
      </c>
      <c r="T31" s="421">
        <f t="shared" si="4"/>
        <v>0</v>
      </c>
      <c r="U31" s="421"/>
      <c r="V31" s="421">
        <f t="shared" si="5"/>
        <v>0</v>
      </c>
    </row>
    <row r="32" spans="1:22" s="572" customFormat="1" ht="47.25">
      <c r="A32" s="588" t="s">
        <v>523</v>
      </c>
      <c r="B32" s="588"/>
      <c r="C32" s="588"/>
      <c r="D32" s="589" t="s">
        <v>62</v>
      </c>
      <c r="E32" s="590">
        <f>+E34+E35+E36+E37+E38+E40+E41+E42+E44+E45+E47+E39+E50+E49+E52+E48+E51</f>
        <v>708805311</v>
      </c>
      <c r="F32" s="590">
        <f t="shared" ref="F32:Q32" si="13">+F34+F35+F36+F37+F38+F40+F41+F42+F44+F45+F47+F39+F50+F49+F52+F48+F51</f>
        <v>665668111</v>
      </c>
      <c r="G32" s="590">
        <f t="shared" si="13"/>
        <v>282896856</v>
      </c>
      <c r="H32" s="590">
        <f t="shared" si="13"/>
        <v>43588418</v>
      </c>
      <c r="I32" s="590">
        <f t="shared" si="13"/>
        <v>43137200</v>
      </c>
      <c r="J32" s="590">
        <f t="shared" si="13"/>
        <v>111373037</v>
      </c>
      <c r="K32" s="590">
        <f t="shared" si="13"/>
        <v>29817634</v>
      </c>
      <c r="L32" s="590">
        <f t="shared" si="13"/>
        <v>1380568</v>
      </c>
      <c r="M32" s="590">
        <f t="shared" si="13"/>
        <v>1059458</v>
      </c>
      <c r="N32" s="590">
        <f t="shared" si="13"/>
        <v>81555403</v>
      </c>
      <c r="O32" s="590">
        <f t="shared" si="13"/>
        <v>80520146</v>
      </c>
      <c r="P32" s="590">
        <f t="shared" si="13"/>
        <v>64230008</v>
      </c>
      <c r="Q32" s="590">
        <f t="shared" si="13"/>
        <v>820178348</v>
      </c>
      <c r="R32" s="419">
        <f t="shared" si="1"/>
        <v>820178348</v>
      </c>
      <c r="S32" s="571">
        <f t="shared" si="3"/>
        <v>0</v>
      </c>
      <c r="T32" s="421">
        <f t="shared" si="4"/>
        <v>-16290138</v>
      </c>
      <c r="U32" s="421"/>
      <c r="V32" s="421">
        <f t="shared" si="5"/>
        <v>-1035257</v>
      </c>
    </row>
    <row r="33" spans="1:22" s="572" customFormat="1" ht="47.25">
      <c r="A33" s="588" t="s">
        <v>524</v>
      </c>
      <c r="B33" s="588"/>
      <c r="C33" s="588"/>
      <c r="D33" s="589" t="s">
        <v>62</v>
      </c>
      <c r="E33" s="590">
        <f>E34+E35+E36+E37+E38+E39+E40+E41+E42+E43+E46+E50+E49+E52+E48+E51</f>
        <v>708805311</v>
      </c>
      <c r="F33" s="590">
        <f t="shared" ref="F33:Q33" si="14">F34+F35+F36+F37+F38+F39+F40+F41+F42+F43+F46+F50+F49+F52+F48+F51</f>
        <v>665668111</v>
      </c>
      <c r="G33" s="590">
        <f t="shared" si="14"/>
        <v>282896856</v>
      </c>
      <c r="H33" s="590">
        <f t="shared" si="14"/>
        <v>43588418</v>
      </c>
      <c r="I33" s="590">
        <f t="shared" si="14"/>
        <v>43137200</v>
      </c>
      <c r="J33" s="590">
        <f t="shared" si="14"/>
        <v>111373037</v>
      </c>
      <c r="K33" s="590">
        <f t="shared" si="14"/>
        <v>29817634</v>
      </c>
      <c r="L33" s="590">
        <f t="shared" si="14"/>
        <v>1380568</v>
      </c>
      <c r="M33" s="590">
        <f t="shared" si="14"/>
        <v>1059458</v>
      </c>
      <c r="N33" s="590">
        <f>N34+N35+N36+N37+N38+N39+N40+N41+N42+N43+N46+N50+N49+N52+N48+N51</f>
        <v>81555403</v>
      </c>
      <c r="O33" s="590">
        <f t="shared" si="14"/>
        <v>80520146</v>
      </c>
      <c r="P33" s="590">
        <f t="shared" si="14"/>
        <v>64230008</v>
      </c>
      <c r="Q33" s="590">
        <f t="shared" si="14"/>
        <v>820178348</v>
      </c>
      <c r="R33" s="419">
        <f t="shared" si="1"/>
        <v>820178348</v>
      </c>
      <c r="S33" s="571">
        <f t="shared" si="3"/>
        <v>0</v>
      </c>
      <c r="T33" s="421">
        <f t="shared" si="4"/>
        <v>-16290138</v>
      </c>
      <c r="U33" s="421"/>
      <c r="V33" s="421">
        <f t="shared" si="5"/>
        <v>-1035257</v>
      </c>
    </row>
    <row r="34" spans="1:22" s="575" customFormat="1" ht="69" customHeight="1">
      <c r="A34" s="423" t="s">
        <v>525</v>
      </c>
      <c r="B34" s="423" t="s">
        <v>14</v>
      </c>
      <c r="C34" s="423" t="s">
        <v>15</v>
      </c>
      <c r="D34" s="584" t="s">
        <v>336</v>
      </c>
      <c r="E34" s="549">
        <f t="shared" ref="E34:E49" si="15">F34+I34</f>
        <v>48899730</v>
      </c>
      <c r="F34" s="549">
        <v>48899730</v>
      </c>
      <c r="G34" s="549">
        <v>27359860</v>
      </c>
      <c r="H34" s="549">
        <v>6484730</v>
      </c>
      <c r="I34" s="549"/>
      <c r="J34" s="549">
        <f t="shared" ref="J34:J52" si="16">+K34+N34</f>
        <v>60850</v>
      </c>
      <c r="K34" s="549">
        <v>27700</v>
      </c>
      <c r="L34" s="549"/>
      <c r="M34" s="549"/>
      <c r="N34" s="549">
        <v>33150</v>
      </c>
      <c r="O34" s="549">
        <v>33150</v>
      </c>
      <c r="P34" s="549">
        <v>33150</v>
      </c>
      <c r="Q34" s="549">
        <f t="shared" ref="Q34:Q42" si="17">+J34+E34</f>
        <v>48960580</v>
      </c>
      <c r="R34" s="419">
        <f t="shared" si="1"/>
        <v>48960580</v>
      </c>
      <c r="S34" s="571">
        <f t="shared" si="3"/>
        <v>0</v>
      </c>
      <c r="T34" s="421">
        <f t="shared" si="4"/>
        <v>0</v>
      </c>
      <c r="U34" s="421"/>
      <c r="V34" s="421">
        <f t="shared" si="5"/>
        <v>0</v>
      </c>
    </row>
    <row r="35" spans="1:22" s="64" customFormat="1" ht="78.75" hidden="1">
      <c r="A35" s="27" t="s">
        <v>526</v>
      </c>
      <c r="B35" s="27" t="s">
        <v>16</v>
      </c>
      <c r="C35" s="27" t="s">
        <v>15</v>
      </c>
      <c r="D35" s="26" t="s">
        <v>17</v>
      </c>
      <c r="E35" s="31">
        <f t="shared" si="15"/>
        <v>0</v>
      </c>
      <c r="F35" s="31"/>
      <c r="G35" s="31"/>
      <c r="H35" s="31"/>
      <c r="I35" s="31"/>
      <c r="J35" s="35">
        <f t="shared" si="16"/>
        <v>0</v>
      </c>
      <c r="K35" s="31"/>
      <c r="L35" s="31"/>
      <c r="M35" s="31"/>
      <c r="N35" s="35"/>
      <c r="O35" s="35"/>
      <c r="P35" s="35"/>
      <c r="Q35" s="35">
        <f t="shared" si="17"/>
        <v>0</v>
      </c>
      <c r="R35" s="419">
        <f t="shared" si="1"/>
        <v>0</v>
      </c>
      <c r="S35" s="169">
        <f t="shared" si="3"/>
        <v>0</v>
      </c>
      <c r="T35" s="339">
        <f t="shared" si="4"/>
        <v>0</v>
      </c>
      <c r="U35" s="339"/>
      <c r="V35" s="339">
        <f t="shared" si="5"/>
        <v>0</v>
      </c>
    </row>
    <row r="36" spans="1:22" s="575" customFormat="1" ht="118.15" customHeight="1">
      <c r="A36" s="423" t="s">
        <v>527</v>
      </c>
      <c r="B36" s="423" t="s">
        <v>18</v>
      </c>
      <c r="C36" s="423" t="s">
        <v>15</v>
      </c>
      <c r="D36" s="584" t="s">
        <v>19</v>
      </c>
      <c r="E36" s="549">
        <f t="shared" si="15"/>
        <v>174947470</v>
      </c>
      <c r="F36" s="549">
        <v>174947470</v>
      </c>
      <c r="G36" s="549">
        <v>117958950</v>
      </c>
      <c r="H36" s="549">
        <v>11535080</v>
      </c>
      <c r="I36" s="549"/>
      <c r="J36" s="549">
        <f t="shared" si="16"/>
        <v>950858</v>
      </c>
      <c r="K36" s="549">
        <v>274400</v>
      </c>
      <c r="L36" s="549">
        <v>110120</v>
      </c>
      <c r="M36" s="549">
        <v>3310</v>
      </c>
      <c r="N36" s="549">
        <v>676458</v>
      </c>
      <c r="O36" s="549">
        <v>605458</v>
      </c>
      <c r="P36" s="549">
        <v>605458</v>
      </c>
      <c r="Q36" s="549">
        <f t="shared" si="17"/>
        <v>175898328</v>
      </c>
      <c r="R36" s="419">
        <f t="shared" si="1"/>
        <v>175898328</v>
      </c>
      <c r="S36" s="571">
        <f t="shared" si="3"/>
        <v>0</v>
      </c>
      <c r="T36" s="421">
        <f t="shared" si="4"/>
        <v>0</v>
      </c>
      <c r="U36" s="421"/>
      <c r="V36" s="421">
        <f t="shared" si="5"/>
        <v>-71000</v>
      </c>
    </row>
    <row r="37" spans="1:22" s="575" customFormat="1" ht="173.25">
      <c r="A37" s="423" t="s">
        <v>528</v>
      </c>
      <c r="B37" s="423" t="s">
        <v>20</v>
      </c>
      <c r="C37" s="423" t="s">
        <v>15</v>
      </c>
      <c r="D37" s="584" t="s">
        <v>464</v>
      </c>
      <c r="E37" s="549">
        <f t="shared" si="15"/>
        <v>25049833</v>
      </c>
      <c r="F37" s="549">
        <v>25049833</v>
      </c>
      <c r="G37" s="549">
        <v>12978533</v>
      </c>
      <c r="H37" s="549">
        <v>3272980</v>
      </c>
      <c r="I37" s="549"/>
      <c r="J37" s="549">
        <f t="shared" si="16"/>
        <v>751000</v>
      </c>
      <c r="K37" s="549">
        <v>264100</v>
      </c>
      <c r="L37" s="549"/>
      <c r="M37" s="549">
        <v>35380</v>
      </c>
      <c r="N37" s="549">
        <v>486900</v>
      </c>
      <c r="O37" s="549">
        <v>426900</v>
      </c>
      <c r="P37" s="549">
        <v>426900</v>
      </c>
      <c r="Q37" s="549">
        <f t="shared" si="17"/>
        <v>25800833</v>
      </c>
      <c r="R37" s="419">
        <f t="shared" si="1"/>
        <v>25800833</v>
      </c>
      <c r="S37" s="571">
        <f t="shared" si="3"/>
        <v>0</v>
      </c>
      <c r="T37" s="421">
        <f t="shared" si="4"/>
        <v>0</v>
      </c>
      <c r="U37" s="421"/>
      <c r="V37" s="421">
        <f t="shared" si="5"/>
        <v>-60000</v>
      </c>
    </row>
    <row r="38" spans="1:22" s="575" customFormat="1" ht="63">
      <c r="A38" s="423" t="s">
        <v>529</v>
      </c>
      <c r="B38" s="423" t="s">
        <v>8</v>
      </c>
      <c r="C38" s="423" t="s">
        <v>21</v>
      </c>
      <c r="D38" s="584" t="s">
        <v>277</v>
      </c>
      <c r="E38" s="549">
        <f t="shared" si="15"/>
        <v>16049790</v>
      </c>
      <c r="F38" s="549">
        <v>16049790</v>
      </c>
      <c r="G38" s="549">
        <v>10926380</v>
      </c>
      <c r="H38" s="549">
        <v>1564100</v>
      </c>
      <c r="I38" s="549"/>
      <c r="J38" s="549">
        <f t="shared" si="16"/>
        <v>339160</v>
      </c>
      <c r="K38" s="549">
        <v>239160</v>
      </c>
      <c r="L38" s="549"/>
      <c r="M38" s="549">
        <v>29600</v>
      </c>
      <c r="N38" s="549">
        <v>100000</v>
      </c>
      <c r="O38" s="549">
        <v>88000</v>
      </c>
      <c r="P38" s="549">
        <v>88000</v>
      </c>
      <c r="Q38" s="549">
        <f t="shared" si="17"/>
        <v>16388950</v>
      </c>
      <c r="R38" s="419">
        <f t="shared" si="1"/>
        <v>16388950</v>
      </c>
      <c r="S38" s="571">
        <f t="shared" si="3"/>
        <v>0</v>
      </c>
      <c r="T38" s="421">
        <f t="shared" si="4"/>
        <v>0</v>
      </c>
      <c r="U38" s="421"/>
      <c r="V38" s="421">
        <f t="shared" si="5"/>
        <v>-12000</v>
      </c>
    </row>
    <row r="39" spans="1:22" s="575" customFormat="1" ht="47.25">
      <c r="A39" s="423" t="s">
        <v>534</v>
      </c>
      <c r="B39" s="423" t="s">
        <v>535</v>
      </c>
      <c r="C39" s="423" t="s">
        <v>22</v>
      </c>
      <c r="D39" s="584" t="s">
        <v>968</v>
      </c>
      <c r="E39" s="549">
        <f t="shared" si="15"/>
        <v>167855843</v>
      </c>
      <c r="F39" s="549">
        <v>167855843</v>
      </c>
      <c r="G39" s="549">
        <v>98047700</v>
      </c>
      <c r="H39" s="549">
        <v>19901488</v>
      </c>
      <c r="I39" s="549"/>
      <c r="J39" s="549">
        <f t="shared" si="16"/>
        <v>9229891</v>
      </c>
      <c r="K39" s="549">
        <v>4959634</v>
      </c>
      <c r="L39" s="549">
        <v>935298</v>
      </c>
      <c r="M39" s="549">
        <v>991168</v>
      </c>
      <c r="N39" s="549">
        <v>4270257</v>
      </c>
      <c r="O39" s="549">
        <v>4008000</v>
      </c>
      <c r="P39" s="549">
        <v>4008000</v>
      </c>
      <c r="Q39" s="549">
        <f t="shared" si="17"/>
        <v>177085734</v>
      </c>
      <c r="R39" s="419">
        <f t="shared" si="1"/>
        <v>177085734</v>
      </c>
      <c r="S39" s="571">
        <f t="shared" si="3"/>
        <v>0</v>
      </c>
      <c r="T39" s="421">
        <f t="shared" si="4"/>
        <v>0</v>
      </c>
      <c r="U39" s="421"/>
      <c r="V39" s="421">
        <f t="shared" si="5"/>
        <v>-262257</v>
      </c>
    </row>
    <row r="40" spans="1:22" s="575" customFormat="1" ht="63">
      <c r="A40" s="423" t="s">
        <v>530</v>
      </c>
      <c r="B40" s="423" t="s">
        <v>23</v>
      </c>
      <c r="C40" s="423" t="s">
        <v>24</v>
      </c>
      <c r="D40" s="584" t="s">
        <v>536</v>
      </c>
      <c r="E40" s="549">
        <f t="shared" si="15"/>
        <v>160407676</v>
      </c>
      <c r="F40" s="549">
        <v>160407676</v>
      </c>
      <c r="G40" s="549"/>
      <c r="H40" s="549"/>
      <c r="I40" s="549"/>
      <c r="J40" s="549">
        <f>+K40+N40</f>
        <v>23905190</v>
      </c>
      <c r="K40" s="549">
        <f>3562690+19712500</f>
        <v>23275190</v>
      </c>
      <c r="L40" s="549"/>
      <c r="M40" s="549"/>
      <c r="N40" s="549">
        <v>630000</v>
      </c>
      <c r="O40" s="549"/>
      <c r="P40" s="549"/>
      <c r="Q40" s="549">
        <f t="shared" si="17"/>
        <v>184312866</v>
      </c>
      <c r="R40" s="419">
        <f t="shared" si="1"/>
        <v>184312866</v>
      </c>
      <c r="S40" s="571">
        <f t="shared" si="3"/>
        <v>0</v>
      </c>
      <c r="T40" s="421">
        <f t="shared" si="4"/>
        <v>0</v>
      </c>
      <c r="U40" s="421"/>
      <c r="V40" s="421">
        <f t="shared" si="5"/>
        <v>-630000</v>
      </c>
    </row>
    <row r="41" spans="1:22" s="575" customFormat="1" ht="47.25">
      <c r="A41" s="423" t="s">
        <v>531</v>
      </c>
      <c r="B41" s="423" t="s">
        <v>11</v>
      </c>
      <c r="C41" s="423" t="s">
        <v>12</v>
      </c>
      <c r="D41" s="584" t="s">
        <v>517</v>
      </c>
      <c r="E41" s="549">
        <f t="shared" si="15"/>
        <v>18691501</v>
      </c>
      <c r="F41" s="549">
        <v>18691501</v>
      </c>
      <c r="G41" s="549">
        <v>12830813</v>
      </c>
      <c r="H41" s="549">
        <v>761700</v>
      </c>
      <c r="I41" s="549"/>
      <c r="J41" s="549">
        <f t="shared" si="16"/>
        <v>839450</v>
      </c>
      <c r="K41" s="549">
        <v>777450</v>
      </c>
      <c r="L41" s="549">
        <v>335150</v>
      </c>
      <c r="M41" s="549"/>
      <c r="N41" s="549">
        <v>62000</v>
      </c>
      <c r="O41" s="549">
        <v>62000</v>
      </c>
      <c r="P41" s="549">
        <v>62000</v>
      </c>
      <c r="Q41" s="549">
        <f t="shared" si="17"/>
        <v>19530951</v>
      </c>
      <c r="R41" s="419">
        <f t="shared" si="1"/>
        <v>19530951</v>
      </c>
      <c r="S41" s="571">
        <f t="shared" si="3"/>
        <v>0</v>
      </c>
      <c r="T41" s="421">
        <f t="shared" si="4"/>
        <v>0</v>
      </c>
      <c r="U41" s="421"/>
      <c r="V41" s="421">
        <f t="shared" si="5"/>
        <v>0</v>
      </c>
    </row>
    <row r="42" spans="1:22" s="64" customFormat="1" ht="31.5" hidden="1">
      <c r="A42" s="27" t="s">
        <v>537</v>
      </c>
      <c r="B42" s="27" t="s">
        <v>89</v>
      </c>
      <c r="C42" s="27" t="s">
        <v>371</v>
      </c>
      <c r="D42" s="26" t="s">
        <v>538</v>
      </c>
      <c r="E42" s="199">
        <f t="shared" si="15"/>
        <v>0</v>
      </c>
      <c r="F42" s="199"/>
      <c r="G42" s="199"/>
      <c r="H42" s="199"/>
      <c r="I42" s="199"/>
      <c r="J42" s="199">
        <f t="shared" si="16"/>
        <v>0</v>
      </c>
      <c r="K42" s="199"/>
      <c r="L42" s="199"/>
      <c r="M42" s="199"/>
      <c r="N42" s="199"/>
      <c r="O42" s="199"/>
      <c r="P42" s="199"/>
      <c r="Q42" s="199">
        <f t="shared" si="17"/>
        <v>0</v>
      </c>
      <c r="R42" s="419">
        <f t="shared" si="1"/>
        <v>0</v>
      </c>
      <c r="S42" s="169">
        <f t="shared" si="3"/>
        <v>0</v>
      </c>
      <c r="T42" s="339">
        <f t="shared" si="4"/>
        <v>0</v>
      </c>
      <c r="U42" s="339"/>
      <c r="V42" s="339">
        <f t="shared" si="5"/>
        <v>0</v>
      </c>
    </row>
    <row r="43" spans="1:22" s="580" customFormat="1" ht="31.5">
      <c r="A43" s="577" t="s">
        <v>539</v>
      </c>
      <c r="B43" s="577" t="s">
        <v>540</v>
      </c>
      <c r="C43" s="577"/>
      <c r="D43" s="578" t="s">
        <v>543</v>
      </c>
      <c r="E43" s="579">
        <f>SUM(E44:E45)</f>
        <v>2860610</v>
      </c>
      <c r="F43" s="579">
        <f t="shared" ref="F43:Q43" si="18">SUM(F44:F45)</f>
        <v>2860610</v>
      </c>
      <c r="G43" s="579">
        <f t="shared" si="18"/>
        <v>1815840</v>
      </c>
      <c r="H43" s="579">
        <f t="shared" si="18"/>
        <v>54910</v>
      </c>
      <c r="I43" s="579">
        <f t="shared" si="18"/>
        <v>0</v>
      </c>
      <c r="J43" s="579">
        <f t="shared" si="18"/>
        <v>72264194</v>
      </c>
      <c r="K43" s="579">
        <f t="shared" si="18"/>
        <v>0</v>
      </c>
      <c r="L43" s="579">
        <f t="shared" si="18"/>
        <v>0</v>
      </c>
      <c r="M43" s="579">
        <f t="shared" si="18"/>
        <v>0</v>
      </c>
      <c r="N43" s="579">
        <f t="shared" si="18"/>
        <v>72264194</v>
      </c>
      <c r="O43" s="579">
        <f t="shared" si="18"/>
        <v>72264194</v>
      </c>
      <c r="P43" s="579">
        <f t="shared" si="18"/>
        <v>55974056</v>
      </c>
      <c r="Q43" s="579">
        <f t="shared" si="18"/>
        <v>75124804</v>
      </c>
      <c r="R43" s="419">
        <f t="shared" si="1"/>
        <v>75124804</v>
      </c>
      <c r="S43" s="571">
        <f t="shared" si="3"/>
        <v>0</v>
      </c>
      <c r="T43" s="421">
        <f t="shared" si="4"/>
        <v>-16290138</v>
      </c>
      <c r="U43" s="421"/>
      <c r="V43" s="421">
        <f t="shared" si="5"/>
        <v>0</v>
      </c>
    </row>
    <row r="44" spans="1:22" s="575" customFormat="1" ht="32.450000000000003" customHeight="1">
      <c r="A44" s="417" t="s">
        <v>541</v>
      </c>
      <c r="B44" s="417" t="s">
        <v>542</v>
      </c>
      <c r="C44" s="417" t="s">
        <v>371</v>
      </c>
      <c r="D44" s="581" t="s">
        <v>544</v>
      </c>
      <c r="E44" s="549">
        <f t="shared" si="15"/>
        <v>1794320</v>
      </c>
      <c r="F44" s="549">
        <v>1794320</v>
      </c>
      <c r="G44" s="549">
        <v>1376390</v>
      </c>
      <c r="H44" s="549">
        <v>54910</v>
      </c>
      <c r="I44" s="549"/>
      <c r="J44" s="549">
        <f t="shared" si="16"/>
        <v>0</v>
      </c>
      <c r="K44" s="549"/>
      <c r="L44" s="549"/>
      <c r="M44" s="549"/>
      <c r="N44" s="549"/>
      <c r="O44" s="549"/>
      <c r="P44" s="549"/>
      <c r="Q44" s="549">
        <f>+J44+E44</f>
        <v>1794320</v>
      </c>
      <c r="R44" s="419">
        <f t="shared" si="1"/>
        <v>1794320</v>
      </c>
      <c r="S44" s="571">
        <f t="shared" si="3"/>
        <v>0</v>
      </c>
      <c r="T44" s="421">
        <f t="shared" si="4"/>
        <v>0</v>
      </c>
      <c r="U44" s="421"/>
      <c r="V44" s="421">
        <f t="shared" si="5"/>
        <v>0</v>
      </c>
    </row>
    <row r="45" spans="1:22" s="592" customFormat="1" ht="31.5">
      <c r="A45" s="417" t="s">
        <v>545</v>
      </c>
      <c r="B45" s="417" t="s">
        <v>546</v>
      </c>
      <c r="C45" s="417" t="s">
        <v>371</v>
      </c>
      <c r="D45" s="581" t="s">
        <v>547</v>
      </c>
      <c r="E45" s="549">
        <f t="shared" si="15"/>
        <v>1066290</v>
      </c>
      <c r="F45" s="549">
        <v>1066290</v>
      </c>
      <c r="G45" s="549">
        <v>439450</v>
      </c>
      <c r="H45" s="549"/>
      <c r="I45" s="549"/>
      <c r="J45" s="549">
        <f t="shared" si="16"/>
        <v>72264194</v>
      </c>
      <c r="K45" s="549"/>
      <c r="L45" s="549"/>
      <c r="M45" s="549"/>
      <c r="N45" s="549">
        <f>71625910+540000+114085+77643-93444</f>
        <v>72264194</v>
      </c>
      <c r="O45" s="549">
        <f>71625910+540000+114085+77643-93444</f>
        <v>72264194</v>
      </c>
      <c r="P45" s="549">
        <f>56067500-93444</f>
        <v>55974056</v>
      </c>
      <c r="Q45" s="549">
        <f>+J45+E45</f>
        <v>73330484</v>
      </c>
      <c r="R45" s="419">
        <f t="shared" si="1"/>
        <v>73330484</v>
      </c>
      <c r="S45" s="571">
        <v>3360000</v>
      </c>
      <c r="T45" s="421">
        <f t="shared" si="4"/>
        <v>-16290138</v>
      </c>
      <c r="U45" s="421"/>
      <c r="V45" s="421">
        <f t="shared" si="5"/>
        <v>0</v>
      </c>
    </row>
    <row r="46" spans="1:22" s="580" customFormat="1" ht="31.5">
      <c r="A46" s="577" t="s">
        <v>532</v>
      </c>
      <c r="B46" s="577" t="s">
        <v>434</v>
      </c>
      <c r="C46" s="577"/>
      <c r="D46" s="578" t="s">
        <v>260</v>
      </c>
      <c r="E46" s="579">
        <f>E47</f>
        <v>1262740</v>
      </c>
      <c r="F46" s="579">
        <f t="shared" ref="F46:Q46" si="19">F47</f>
        <v>1262740</v>
      </c>
      <c r="G46" s="579">
        <f t="shared" si="19"/>
        <v>978780</v>
      </c>
      <c r="H46" s="579">
        <f t="shared" si="19"/>
        <v>13430</v>
      </c>
      <c r="I46" s="579">
        <f t="shared" si="19"/>
        <v>0</v>
      </c>
      <c r="J46" s="579">
        <f t="shared" si="19"/>
        <v>0</v>
      </c>
      <c r="K46" s="579">
        <f t="shared" si="19"/>
        <v>0</v>
      </c>
      <c r="L46" s="579">
        <f t="shared" si="19"/>
        <v>0</v>
      </c>
      <c r="M46" s="579">
        <f t="shared" si="19"/>
        <v>0</v>
      </c>
      <c r="N46" s="579">
        <f t="shared" si="19"/>
        <v>0</v>
      </c>
      <c r="O46" s="579">
        <f t="shared" si="19"/>
        <v>0</v>
      </c>
      <c r="P46" s="579">
        <f t="shared" si="19"/>
        <v>0</v>
      </c>
      <c r="Q46" s="579">
        <f t="shared" si="19"/>
        <v>1262740</v>
      </c>
      <c r="R46" s="419">
        <f t="shared" si="1"/>
        <v>1262740</v>
      </c>
      <c r="S46" s="571">
        <f t="shared" si="3"/>
        <v>0</v>
      </c>
      <c r="T46" s="421">
        <f t="shared" si="4"/>
        <v>0</v>
      </c>
      <c r="U46" s="421"/>
      <c r="V46" s="421">
        <f t="shared" si="5"/>
        <v>0</v>
      </c>
    </row>
    <row r="47" spans="1:22" s="583" customFormat="1" ht="55.15" customHeight="1">
      <c r="A47" s="417" t="s">
        <v>533</v>
      </c>
      <c r="B47" s="417" t="s">
        <v>449</v>
      </c>
      <c r="C47" s="417" t="s">
        <v>374</v>
      </c>
      <c r="D47" s="581" t="s">
        <v>63</v>
      </c>
      <c r="E47" s="546">
        <f t="shared" si="15"/>
        <v>1262740</v>
      </c>
      <c r="F47" s="546">
        <v>1262740</v>
      </c>
      <c r="G47" s="546">
        <v>978780</v>
      </c>
      <c r="H47" s="546">
        <v>13430</v>
      </c>
      <c r="I47" s="546"/>
      <c r="J47" s="549">
        <f t="shared" si="16"/>
        <v>0</v>
      </c>
      <c r="K47" s="546"/>
      <c r="L47" s="546"/>
      <c r="M47" s="546"/>
      <c r="N47" s="546"/>
      <c r="O47" s="546"/>
      <c r="P47" s="546"/>
      <c r="Q47" s="546">
        <f t="shared" ref="Q47:Q52" si="20">+J47+E47</f>
        <v>1262740</v>
      </c>
      <c r="R47" s="419">
        <f t="shared" si="1"/>
        <v>1262740</v>
      </c>
      <c r="S47" s="571">
        <f t="shared" si="3"/>
        <v>0</v>
      </c>
      <c r="T47" s="421">
        <f t="shared" si="4"/>
        <v>0</v>
      </c>
      <c r="U47" s="421"/>
      <c r="V47" s="421">
        <f t="shared" si="5"/>
        <v>0</v>
      </c>
    </row>
    <row r="48" spans="1:22" s="583" customFormat="1" ht="73.150000000000006" customHeight="1">
      <c r="A48" s="417" t="s">
        <v>938</v>
      </c>
      <c r="B48" s="417" t="s">
        <v>939</v>
      </c>
      <c r="C48" s="417" t="s">
        <v>10</v>
      </c>
      <c r="D48" s="584" t="s">
        <v>940</v>
      </c>
      <c r="E48" s="549">
        <f t="shared" si="15"/>
        <v>42370149</v>
      </c>
      <c r="F48" s="549">
        <f>1057900+10400000+28653549</f>
        <v>40111449</v>
      </c>
      <c r="G48" s="549"/>
      <c r="H48" s="549"/>
      <c r="I48" s="549">
        <v>2258700</v>
      </c>
      <c r="J48" s="549">
        <f t="shared" si="16"/>
        <v>0</v>
      </c>
      <c r="K48" s="632"/>
      <c r="L48" s="549"/>
      <c r="M48" s="549"/>
      <c r="N48" s="549"/>
      <c r="O48" s="549"/>
      <c r="P48" s="549"/>
      <c r="Q48" s="549">
        <f t="shared" si="20"/>
        <v>42370149</v>
      </c>
      <c r="R48" s="419">
        <f t="shared" si="1"/>
        <v>42370149</v>
      </c>
      <c r="S48" s="571">
        <f t="shared" si="3"/>
        <v>0</v>
      </c>
      <c r="T48" s="421">
        <f t="shared" si="4"/>
        <v>0</v>
      </c>
      <c r="U48" s="421"/>
      <c r="V48" s="421">
        <f t="shared" si="5"/>
        <v>0</v>
      </c>
    </row>
    <row r="49" spans="1:23" s="575" customFormat="1" ht="70.900000000000006" customHeight="1">
      <c r="A49" s="423" t="s">
        <v>548</v>
      </c>
      <c r="B49" s="423" t="s">
        <v>549</v>
      </c>
      <c r="C49" s="423" t="s">
        <v>10</v>
      </c>
      <c r="D49" s="584" t="s">
        <v>550</v>
      </c>
      <c r="E49" s="546">
        <f t="shared" si="15"/>
        <v>763000</v>
      </c>
      <c r="F49" s="549"/>
      <c r="G49" s="549"/>
      <c r="H49" s="549"/>
      <c r="I49" s="549">
        <v>763000</v>
      </c>
      <c r="J49" s="549">
        <f t="shared" si="16"/>
        <v>332444</v>
      </c>
      <c r="K49" s="594"/>
      <c r="L49" s="550"/>
      <c r="M49" s="550"/>
      <c r="N49" s="549">
        <v>332444</v>
      </c>
      <c r="O49" s="549">
        <v>332444</v>
      </c>
      <c r="P49" s="549">
        <v>332444</v>
      </c>
      <c r="Q49" s="546">
        <f t="shared" si="20"/>
        <v>1095444</v>
      </c>
      <c r="R49" s="419">
        <f t="shared" si="1"/>
        <v>1095444</v>
      </c>
      <c r="S49" s="571">
        <f t="shared" si="3"/>
        <v>0</v>
      </c>
      <c r="T49" s="421">
        <f t="shared" si="4"/>
        <v>0</v>
      </c>
      <c r="U49" s="421"/>
      <c r="V49" s="421">
        <f t="shared" si="5"/>
        <v>0</v>
      </c>
    </row>
    <row r="50" spans="1:23" s="575" customFormat="1" ht="80.45" customHeight="1">
      <c r="A50" s="423" t="s">
        <v>551</v>
      </c>
      <c r="B50" s="595">
        <v>9330</v>
      </c>
      <c r="C50" s="423" t="s">
        <v>10</v>
      </c>
      <c r="D50" s="596" t="s">
        <v>552</v>
      </c>
      <c r="E50" s="549">
        <f>F50+I50</f>
        <v>11452100</v>
      </c>
      <c r="F50" s="549">
        <f>10310300-2258700</f>
        <v>8051600</v>
      </c>
      <c r="G50" s="549"/>
      <c r="H50" s="549"/>
      <c r="I50" s="549">
        <f>3400500</f>
        <v>3400500</v>
      </c>
      <c r="J50" s="549">
        <f t="shared" si="16"/>
        <v>0</v>
      </c>
      <c r="K50" s="594"/>
      <c r="L50" s="550"/>
      <c r="M50" s="550"/>
      <c r="N50" s="549"/>
      <c r="O50" s="550"/>
      <c r="P50" s="550"/>
      <c r="Q50" s="549">
        <f t="shared" si="20"/>
        <v>11452100</v>
      </c>
      <c r="R50" s="419">
        <f t="shared" si="1"/>
        <v>11452100</v>
      </c>
      <c r="S50" s="571">
        <f t="shared" si="3"/>
        <v>0</v>
      </c>
      <c r="T50" s="421">
        <f t="shared" si="4"/>
        <v>0</v>
      </c>
      <c r="U50" s="421"/>
      <c r="V50" s="421">
        <f t="shared" si="5"/>
        <v>0</v>
      </c>
    </row>
    <row r="51" spans="1:23" s="575" customFormat="1" ht="94.15" customHeight="1">
      <c r="A51" s="423" t="s">
        <v>1712</v>
      </c>
      <c r="B51" s="595">
        <v>9350</v>
      </c>
      <c r="C51" s="423" t="s">
        <v>10</v>
      </c>
      <c r="D51" s="596" t="s">
        <v>1721</v>
      </c>
      <c r="E51" s="549">
        <f>F51+I51</f>
        <v>38194869</v>
      </c>
      <c r="F51" s="549">
        <f>10511639+1409730-41500-10400000</f>
        <v>1479869</v>
      </c>
      <c r="G51" s="549"/>
      <c r="H51" s="549"/>
      <c r="I51" s="549">
        <v>36715000</v>
      </c>
      <c r="J51" s="549">
        <f t="shared" si="16"/>
        <v>0</v>
      </c>
      <c r="K51" s="594"/>
      <c r="L51" s="550"/>
      <c r="M51" s="550"/>
      <c r="N51" s="549"/>
      <c r="O51" s="550"/>
      <c r="P51" s="550"/>
      <c r="Q51" s="549">
        <f t="shared" si="20"/>
        <v>38194869</v>
      </c>
      <c r="R51" s="419">
        <f t="shared" si="1"/>
        <v>38194869</v>
      </c>
      <c r="S51" s="571"/>
      <c r="T51" s="421">
        <f t="shared" si="4"/>
        <v>0</v>
      </c>
      <c r="U51" s="421"/>
      <c r="V51" s="421">
        <f t="shared" si="5"/>
        <v>0</v>
      </c>
    </row>
    <row r="52" spans="1:23" s="575" customFormat="1" ht="15" customHeight="1">
      <c r="A52" s="423" t="s">
        <v>901</v>
      </c>
      <c r="B52" s="423" t="s">
        <v>515</v>
      </c>
      <c r="C52" s="423" t="s">
        <v>10</v>
      </c>
      <c r="D52" s="597" t="s">
        <v>596</v>
      </c>
      <c r="E52" s="549">
        <f>F52+I52</f>
        <v>0</v>
      </c>
      <c r="F52" s="549"/>
      <c r="G52" s="549"/>
      <c r="H52" s="549"/>
      <c r="I52" s="549"/>
      <c r="J52" s="549">
        <f t="shared" si="16"/>
        <v>2700000</v>
      </c>
      <c r="K52" s="594"/>
      <c r="L52" s="550"/>
      <c r="M52" s="550"/>
      <c r="N52" s="549">
        <f>2160000+540000</f>
        <v>2700000</v>
      </c>
      <c r="O52" s="550">
        <v>2700000</v>
      </c>
      <c r="P52" s="550">
        <v>2700000</v>
      </c>
      <c r="Q52" s="549">
        <f t="shared" si="20"/>
        <v>2700000</v>
      </c>
      <c r="R52" s="419">
        <f t="shared" si="1"/>
        <v>2700000</v>
      </c>
      <c r="S52" s="571">
        <f t="shared" si="3"/>
        <v>0</v>
      </c>
      <c r="T52" s="421">
        <f t="shared" si="4"/>
        <v>0</v>
      </c>
      <c r="U52" s="421"/>
      <c r="V52" s="421">
        <f t="shared" si="5"/>
        <v>0</v>
      </c>
    </row>
    <row r="53" spans="1:23" s="600" customFormat="1" ht="47.25">
      <c r="A53" s="598" t="s">
        <v>553</v>
      </c>
      <c r="B53" s="598"/>
      <c r="C53" s="598"/>
      <c r="D53" s="589" t="s">
        <v>376</v>
      </c>
      <c r="E53" s="599">
        <f>+E56+E58+E59+E60+E62+E63+E64+E66+E67+E68+E74+E73+E70+E75+E71+E65+E61+E78+E79+E80+E81+E57+E77</f>
        <v>1105174448.77</v>
      </c>
      <c r="F53" s="599">
        <f t="shared" ref="F53:Q53" si="21">+F56+F58+F59+F60+F62+F63+F64+F66+F67+F68+F74+F73+F70+F75+F71+F65+F61+F78+F79+F80+F81+F57+F77</f>
        <v>1105174448.77</v>
      </c>
      <c r="G53" s="599">
        <f t="shared" si="21"/>
        <v>0</v>
      </c>
      <c r="H53" s="599">
        <f t="shared" si="21"/>
        <v>0</v>
      </c>
      <c r="I53" s="599">
        <f t="shared" si="21"/>
        <v>0</v>
      </c>
      <c r="J53" s="599">
        <f t="shared" si="21"/>
        <v>150355767</v>
      </c>
      <c r="K53" s="599">
        <f t="shared" si="21"/>
        <v>83897130</v>
      </c>
      <c r="L53" s="599">
        <f t="shared" si="21"/>
        <v>0</v>
      </c>
      <c r="M53" s="599">
        <f t="shared" si="21"/>
        <v>0</v>
      </c>
      <c r="N53" s="599">
        <f t="shared" si="21"/>
        <v>66458637</v>
      </c>
      <c r="O53" s="599">
        <f t="shared" si="21"/>
        <v>61219137</v>
      </c>
      <c r="P53" s="599">
        <f t="shared" si="21"/>
        <v>54395437</v>
      </c>
      <c r="Q53" s="599">
        <f t="shared" si="21"/>
        <v>1255530215.77</v>
      </c>
      <c r="R53" s="419">
        <f t="shared" si="1"/>
        <v>1255530215.77</v>
      </c>
      <c r="S53" s="420">
        <f t="shared" si="3"/>
        <v>0</v>
      </c>
      <c r="T53" s="421">
        <f t="shared" si="4"/>
        <v>-6823700</v>
      </c>
      <c r="U53" s="421"/>
      <c r="V53" s="421">
        <f t="shared" si="5"/>
        <v>-5239500</v>
      </c>
    </row>
    <row r="54" spans="1:23" s="600" customFormat="1" ht="47.25">
      <c r="A54" s="598" t="s">
        <v>554</v>
      </c>
      <c r="B54" s="598"/>
      <c r="C54" s="598"/>
      <c r="D54" s="589" t="s">
        <v>376</v>
      </c>
      <c r="E54" s="599">
        <f>E56+E58+E59+E60+E61+E62+E63+E64+E65+E66+E67+E68+E69+E72+E75+E78+E79+E80+E81+E57+E77</f>
        <v>1105174448.77</v>
      </c>
      <c r="F54" s="599">
        <f t="shared" ref="F54:Q54" si="22">F56+F58+F59+F60+F61+F62+F63+F64+F65+F66+F67+F68+F69+F72+F75+F78+F79+F80+F81+F57+F77</f>
        <v>1105174448.77</v>
      </c>
      <c r="G54" s="599">
        <f t="shared" si="22"/>
        <v>0</v>
      </c>
      <c r="H54" s="599">
        <f t="shared" si="22"/>
        <v>0</v>
      </c>
      <c r="I54" s="599">
        <f t="shared" si="22"/>
        <v>0</v>
      </c>
      <c r="J54" s="599">
        <f t="shared" si="22"/>
        <v>150355767</v>
      </c>
      <c r="K54" s="599">
        <f t="shared" si="22"/>
        <v>83897130</v>
      </c>
      <c r="L54" s="599">
        <f t="shared" si="22"/>
        <v>0</v>
      </c>
      <c r="M54" s="599">
        <f t="shared" si="22"/>
        <v>0</v>
      </c>
      <c r="N54" s="599">
        <f t="shared" si="22"/>
        <v>66458637</v>
      </c>
      <c r="O54" s="599">
        <f t="shared" si="22"/>
        <v>61219137</v>
      </c>
      <c r="P54" s="599">
        <f t="shared" si="22"/>
        <v>54395437</v>
      </c>
      <c r="Q54" s="599">
        <f t="shared" si="22"/>
        <v>1255530215.77</v>
      </c>
      <c r="R54" s="419">
        <f t="shared" si="1"/>
        <v>1255530215.77</v>
      </c>
      <c r="S54" s="420">
        <f t="shared" si="3"/>
        <v>0</v>
      </c>
      <c r="T54" s="421">
        <f t="shared" si="4"/>
        <v>-6823700</v>
      </c>
      <c r="U54" s="421"/>
      <c r="V54" s="421">
        <f t="shared" si="5"/>
        <v>-5239500</v>
      </c>
      <c r="W54" s="420"/>
    </row>
    <row r="55" spans="1:23" s="600" customFormat="1" ht="15.75">
      <c r="A55" s="598"/>
      <c r="B55" s="598"/>
      <c r="C55" s="598"/>
      <c r="D55" s="589"/>
      <c r="E55" s="599">
        <f>E54-E56-E57-E58-E75</f>
        <v>1047674798.77</v>
      </c>
      <c r="F55" s="599">
        <f t="shared" ref="F55:Q55" si="23">F54-F56-F57-F58-F75</f>
        <v>1047674798.77</v>
      </c>
      <c r="G55" s="599">
        <f t="shared" si="23"/>
        <v>0</v>
      </c>
      <c r="H55" s="599">
        <f t="shared" si="23"/>
        <v>0</v>
      </c>
      <c r="I55" s="599">
        <f t="shared" si="23"/>
        <v>0</v>
      </c>
      <c r="J55" s="599">
        <f t="shared" si="23"/>
        <v>88554944</v>
      </c>
      <c r="K55" s="599">
        <f t="shared" si="23"/>
        <v>23500807</v>
      </c>
      <c r="L55" s="599">
        <f t="shared" si="23"/>
        <v>0</v>
      </c>
      <c r="M55" s="599">
        <f t="shared" si="23"/>
        <v>0</v>
      </c>
      <c r="N55" s="599">
        <f t="shared" si="23"/>
        <v>65054137</v>
      </c>
      <c r="O55" s="599">
        <f t="shared" si="23"/>
        <v>61021137</v>
      </c>
      <c r="P55" s="599">
        <f t="shared" si="23"/>
        <v>54197437</v>
      </c>
      <c r="Q55" s="599">
        <f t="shared" si="23"/>
        <v>1136229742.77</v>
      </c>
      <c r="R55" s="419">
        <f t="shared" si="1"/>
        <v>1136229742.77</v>
      </c>
      <c r="S55" s="420"/>
      <c r="T55" s="421">
        <f t="shared" si="4"/>
        <v>-6823700</v>
      </c>
      <c r="U55" s="421"/>
      <c r="V55" s="421">
        <f t="shared" si="5"/>
        <v>-4033000</v>
      </c>
      <c r="W55" s="420"/>
    </row>
    <row r="56" spans="1:23" ht="63">
      <c r="A56" s="423" t="s">
        <v>555</v>
      </c>
      <c r="B56" s="423" t="s">
        <v>23</v>
      </c>
      <c r="C56" s="423" t="s">
        <v>24</v>
      </c>
      <c r="D56" s="584" t="s">
        <v>536</v>
      </c>
      <c r="E56" s="601">
        <f t="shared" ref="E56:E81" si="24">F56+I56</f>
        <v>47971750</v>
      </c>
      <c r="F56" s="601">
        <v>47971750</v>
      </c>
      <c r="G56" s="601"/>
      <c r="H56" s="601"/>
      <c r="I56" s="601"/>
      <c r="J56" s="601">
        <f t="shared" ref="J56:J63" si="25">+K56+N56</f>
        <v>58195500</v>
      </c>
      <c r="K56" s="601">
        <v>56807500</v>
      </c>
      <c r="L56" s="601"/>
      <c r="M56" s="601"/>
      <c r="N56" s="601">
        <f>1190000+35000+40000+100000+23000</f>
        <v>1388000</v>
      </c>
      <c r="O56" s="601">
        <f>35000+40000+100000+23000</f>
        <v>198000</v>
      </c>
      <c r="P56" s="601">
        <v>198000</v>
      </c>
      <c r="Q56" s="601">
        <f t="shared" ref="Q56:Q68" si="26">+J56+E56</f>
        <v>106167250</v>
      </c>
      <c r="R56" s="419">
        <f t="shared" si="1"/>
        <v>106167250</v>
      </c>
      <c r="S56" s="420">
        <f t="shared" si="3"/>
        <v>0</v>
      </c>
      <c r="T56" s="421">
        <f t="shared" si="4"/>
        <v>0</v>
      </c>
      <c r="U56" s="421"/>
      <c r="V56" s="421">
        <f t="shared" si="5"/>
        <v>-1190000</v>
      </c>
    </row>
    <row r="57" spans="1:23" ht="69" customHeight="1">
      <c r="A57" s="423" t="s">
        <v>796</v>
      </c>
      <c r="B57" s="423" t="s">
        <v>797</v>
      </c>
      <c r="C57" s="423" t="s">
        <v>798</v>
      </c>
      <c r="D57" s="584" t="s">
        <v>799</v>
      </c>
      <c r="E57" s="601">
        <f t="shared" si="24"/>
        <v>7971200</v>
      </c>
      <c r="F57" s="601">
        <v>7971200</v>
      </c>
      <c r="G57" s="601"/>
      <c r="H57" s="601"/>
      <c r="I57" s="601"/>
      <c r="J57" s="601">
        <f t="shared" si="25"/>
        <v>3222100</v>
      </c>
      <c r="K57" s="601">
        <v>3205600</v>
      </c>
      <c r="L57" s="601"/>
      <c r="M57" s="601"/>
      <c r="N57" s="601">
        <v>16500</v>
      </c>
      <c r="O57" s="601"/>
      <c r="P57" s="601"/>
      <c r="Q57" s="601">
        <f t="shared" si="26"/>
        <v>11193300</v>
      </c>
      <c r="R57" s="419">
        <f t="shared" si="1"/>
        <v>11193300</v>
      </c>
      <c r="S57" s="420">
        <f t="shared" si="3"/>
        <v>0</v>
      </c>
      <c r="T57" s="421">
        <f t="shared" si="4"/>
        <v>0</v>
      </c>
      <c r="U57" s="421"/>
      <c r="V57" s="421">
        <f t="shared" si="5"/>
        <v>-16500</v>
      </c>
    </row>
    <row r="58" spans="1:23" ht="47.25">
      <c r="A58" s="423" t="s">
        <v>564</v>
      </c>
      <c r="B58" s="423" t="s">
        <v>11</v>
      </c>
      <c r="C58" s="423" t="s">
        <v>12</v>
      </c>
      <c r="D58" s="584" t="s">
        <v>517</v>
      </c>
      <c r="E58" s="601">
        <f t="shared" si="24"/>
        <v>1556700</v>
      </c>
      <c r="F58" s="601">
        <v>1556700</v>
      </c>
      <c r="G58" s="601"/>
      <c r="H58" s="601"/>
      <c r="I58" s="601"/>
      <c r="J58" s="601">
        <f t="shared" si="25"/>
        <v>383223</v>
      </c>
      <c r="K58" s="601">
        <v>383223</v>
      </c>
      <c r="L58" s="601"/>
      <c r="M58" s="601"/>
      <c r="N58" s="601"/>
      <c r="O58" s="601"/>
      <c r="P58" s="601"/>
      <c r="Q58" s="601">
        <f t="shared" si="26"/>
        <v>1939923</v>
      </c>
      <c r="R58" s="419">
        <f t="shared" si="1"/>
        <v>1939923</v>
      </c>
      <c r="S58" s="420">
        <f t="shared" si="3"/>
        <v>0</v>
      </c>
      <c r="T58" s="421">
        <f t="shared" si="4"/>
        <v>0</v>
      </c>
      <c r="U58" s="421"/>
      <c r="V58" s="421">
        <f t="shared" si="5"/>
        <v>0</v>
      </c>
    </row>
    <row r="59" spans="1:23" ht="31.5">
      <c r="A59" s="423" t="s">
        <v>556</v>
      </c>
      <c r="B59" s="423" t="s">
        <v>91</v>
      </c>
      <c r="C59" s="423" t="s">
        <v>162</v>
      </c>
      <c r="D59" s="584" t="s">
        <v>92</v>
      </c>
      <c r="E59" s="601">
        <f t="shared" si="24"/>
        <v>263853768.84</v>
      </c>
      <c r="F59" s="601">
        <v>263853768.84</v>
      </c>
      <c r="G59" s="601"/>
      <c r="H59" s="601"/>
      <c r="I59" s="601"/>
      <c r="J59" s="601">
        <f t="shared" si="25"/>
        <v>29566587</v>
      </c>
      <c r="K59" s="601">
        <v>2290700</v>
      </c>
      <c r="L59" s="601"/>
      <c r="M59" s="601"/>
      <c r="N59" s="601">
        <f>27264348+338000-326461</f>
        <v>27275887</v>
      </c>
      <c r="O59" s="601">
        <f>27264348+338000-326461</f>
        <v>27275887</v>
      </c>
      <c r="P59" s="601">
        <f>21098848-326461</f>
        <v>20772387</v>
      </c>
      <c r="Q59" s="601">
        <f t="shared" si="26"/>
        <v>293420355.84000003</v>
      </c>
      <c r="R59" s="419">
        <f t="shared" si="1"/>
        <v>293420355.84000003</v>
      </c>
      <c r="S59" s="420">
        <v>5870400</v>
      </c>
      <c r="T59" s="421">
        <f t="shared" si="4"/>
        <v>-6503500</v>
      </c>
      <c r="U59" s="421"/>
      <c r="V59" s="421">
        <f t="shared" si="5"/>
        <v>0</v>
      </c>
    </row>
    <row r="60" spans="1:23" ht="31.5">
      <c r="A60" s="423" t="s">
        <v>565</v>
      </c>
      <c r="B60" s="423" t="s">
        <v>566</v>
      </c>
      <c r="C60" s="423" t="s">
        <v>94</v>
      </c>
      <c r="D60" s="584" t="s">
        <v>161</v>
      </c>
      <c r="E60" s="601">
        <f t="shared" si="24"/>
        <v>240167769</v>
      </c>
      <c r="F60" s="601">
        <v>240167769</v>
      </c>
      <c r="G60" s="601"/>
      <c r="H60" s="601"/>
      <c r="I60" s="601"/>
      <c r="J60" s="601">
        <f t="shared" si="25"/>
        <v>12282827</v>
      </c>
      <c r="K60" s="601">
        <v>5407109</v>
      </c>
      <c r="L60" s="601"/>
      <c r="M60" s="601"/>
      <c r="N60" s="601">
        <f>4767603+2056915+51200</f>
        <v>6875718</v>
      </c>
      <c r="O60" s="601">
        <f>4634603+2056915+51200</f>
        <v>6742718</v>
      </c>
      <c r="P60" s="601">
        <f>4394403+2056915+51200</f>
        <v>6502518</v>
      </c>
      <c r="Q60" s="601">
        <f t="shared" si="26"/>
        <v>252450596</v>
      </c>
      <c r="R60" s="419">
        <f t="shared" si="1"/>
        <v>252450596</v>
      </c>
      <c r="S60" s="420">
        <f t="shared" si="3"/>
        <v>0</v>
      </c>
      <c r="T60" s="421">
        <f t="shared" si="4"/>
        <v>-240200</v>
      </c>
      <c r="U60" s="421"/>
      <c r="V60" s="421">
        <f t="shared" si="5"/>
        <v>-133000</v>
      </c>
    </row>
    <row r="61" spans="1:23" ht="47.25">
      <c r="A61" s="423" t="s">
        <v>557</v>
      </c>
      <c r="B61" s="423" t="s">
        <v>93</v>
      </c>
      <c r="C61" s="423" t="s">
        <v>163</v>
      </c>
      <c r="D61" s="584" t="s">
        <v>289</v>
      </c>
      <c r="E61" s="601">
        <f t="shared" si="24"/>
        <v>42118966</v>
      </c>
      <c r="F61" s="601">
        <v>42118966</v>
      </c>
      <c r="G61" s="601"/>
      <c r="H61" s="601"/>
      <c r="I61" s="601"/>
      <c r="J61" s="601">
        <f t="shared" si="25"/>
        <v>382000</v>
      </c>
      <c r="K61" s="601"/>
      <c r="L61" s="601"/>
      <c r="M61" s="601"/>
      <c r="N61" s="601">
        <v>382000</v>
      </c>
      <c r="O61" s="601">
        <v>382000</v>
      </c>
      <c r="P61" s="601">
        <v>382000</v>
      </c>
      <c r="Q61" s="601">
        <f t="shared" si="26"/>
        <v>42500966</v>
      </c>
      <c r="R61" s="419">
        <f t="shared" si="1"/>
        <v>42500966</v>
      </c>
      <c r="S61" s="420">
        <f t="shared" si="3"/>
        <v>0</v>
      </c>
      <c r="T61" s="421">
        <f t="shared" si="4"/>
        <v>0</v>
      </c>
      <c r="U61" s="421"/>
      <c r="V61" s="421">
        <f t="shared" si="5"/>
        <v>0</v>
      </c>
    </row>
    <row r="62" spans="1:23" ht="31.5">
      <c r="A62" s="423" t="s">
        <v>597</v>
      </c>
      <c r="B62" s="423" t="s">
        <v>598</v>
      </c>
      <c r="C62" s="423" t="s">
        <v>165</v>
      </c>
      <c r="D62" s="584" t="s">
        <v>599</v>
      </c>
      <c r="E62" s="601">
        <f t="shared" si="24"/>
        <v>41016120</v>
      </c>
      <c r="F62" s="601">
        <v>41016120</v>
      </c>
      <c r="G62" s="601"/>
      <c r="H62" s="601"/>
      <c r="I62" s="601"/>
      <c r="J62" s="601">
        <f t="shared" si="25"/>
        <v>314000</v>
      </c>
      <c r="K62" s="601">
        <v>4000</v>
      </c>
      <c r="L62" s="601"/>
      <c r="M62" s="601"/>
      <c r="N62" s="601">
        <v>310000</v>
      </c>
      <c r="O62" s="601">
        <v>310000</v>
      </c>
      <c r="P62" s="601">
        <v>310000</v>
      </c>
      <c r="Q62" s="601">
        <f t="shared" si="26"/>
        <v>41330120</v>
      </c>
      <c r="R62" s="419">
        <f t="shared" si="1"/>
        <v>41330120</v>
      </c>
      <c r="S62" s="420">
        <f t="shared" si="3"/>
        <v>0</v>
      </c>
      <c r="T62" s="421">
        <f t="shared" si="4"/>
        <v>0</v>
      </c>
      <c r="U62" s="421"/>
      <c r="V62" s="421">
        <f t="shared" si="5"/>
        <v>0</v>
      </c>
    </row>
    <row r="63" spans="1:23" ht="47.25">
      <c r="A63" s="423" t="s">
        <v>558</v>
      </c>
      <c r="B63" s="423" t="s">
        <v>95</v>
      </c>
      <c r="C63" s="423" t="s">
        <v>167</v>
      </c>
      <c r="D63" s="584" t="s">
        <v>168</v>
      </c>
      <c r="E63" s="601">
        <f t="shared" si="24"/>
        <v>31225670</v>
      </c>
      <c r="F63" s="601">
        <v>31225670</v>
      </c>
      <c r="G63" s="601"/>
      <c r="H63" s="601"/>
      <c r="I63" s="601"/>
      <c r="J63" s="601">
        <f t="shared" si="25"/>
        <v>14000</v>
      </c>
      <c r="K63" s="601"/>
      <c r="L63" s="601"/>
      <c r="M63" s="601"/>
      <c r="N63" s="601">
        <v>14000</v>
      </c>
      <c r="O63" s="601">
        <v>14000</v>
      </c>
      <c r="P63" s="601">
        <v>14000</v>
      </c>
      <c r="Q63" s="601">
        <f t="shared" si="26"/>
        <v>31239670</v>
      </c>
      <c r="R63" s="419">
        <f t="shared" si="1"/>
        <v>31239670</v>
      </c>
      <c r="S63" s="420">
        <f t="shared" si="3"/>
        <v>0</v>
      </c>
      <c r="T63" s="421">
        <f t="shared" si="4"/>
        <v>0</v>
      </c>
      <c r="U63" s="421"/>
      <c r="V63" s="421">
        <f t="shared" si="5"/>
        <v>0</v>
      </c>
    </row>
    <row r="64" spans="1:23" ht="31.5">
      <c r="A64" s="423" t="s">
        <v>559</v>
      </c>
      <c r="B64" s="423" t="s">
        <v>164</v>
      </c>
      <c r="C64" s="423" t="s">
        <v>170</v>
      </c>
      <c r="D64" s="584" t="s">
        <v>171</v>
      </c>
      <c r="E64" s="601">
        <f t="shared" si="24"/>
        <v>11572670</v>
      </c>
      <c r="F64" s="601">
        <v>11572670</v>
      </c>
      <c r="G64" s="601"/>
      <c r="H64" s="601"/>
      <c r="I64" s="601"/>
      <c r="J64" s="601">
        <f t="shared" ref="J64:J81" si="27">+K64+N64</f>
        <v>1052700</v>
      </c>
      <c r="K64" s="601">
        <v>1052700</v>
      </c>
      <c r="L64" s="601"/>
      <c r="M64" s="601"/>
      <c r="N64" s="601"/>
      <c r="O64" s="601"/>
      <c r="P64" s="601"/>
      <c r="Q64" s="601">
        <f t="shared" si="26"/>
        <v>12625370</v>
      </c>
      <c r="R64" s="419">
        <f t="shared" si="1"/>
        <v>12625370</v>
      </c>
      <c r="S64" s="420">
        <f t="shared" si="3"/>
        <v>0</v>
      </c>
      <c r="T64" s="421">
        <f t="shared" si="4"/>
        <v>0</v>
      </c>
      <c r="U64" s="421"/>
      <c r="V64" s="421">
        <f t="shared" si="5"/>
        <v>0</v>
      </c>
    </row>
    <row r="65" spans="1:22" ht="31.5">
      <c r="A65" s="423" t="s">
        <v>567</v>
      </c>
      <c r="B65" s="423" t="s">
        <v>568</v>
      </c>
      <c r="C65" s="423" t="s">
        <v>172</v>
      </c>
      <c r="D65" s="584" t="s">
        <v>969</v>
      </c>
      <c r="E65" s="601">
        <f t="shared" si="24"/>
        <v>156405030</v>
      </c>
      <c r="F65" s="601">
        <v>156405030</v>
      </c>
      <c r="G65" s="601"/>
      <c r="H65" s="601"/>
      <c r="I65" s="601"/>
      <c r="J65" s="601">
        <f t="shared" si="27"/>
        <v>214598</v>
      </c>
      <c r="K65" s="601">
        <v>86598</v>
      </c>
      <c r="L65" s="601"/>
      <c r="M65" s="601"/>
      <c r="N65" s="601">
        <f>48000+40000+40000</f>
        <v>128000</v>
      </c>
      <c r="O65" s="601">
        <f>48000+40000+40000</f>
        <v>128000</v>
      </c>
      <c r="P65" s="601">
        <v>48000</v>
      </c>
      <c r="Q65" s="601">
        <f t="shared" si="26"/>
        <v>156619628</v>
      </c>
      <c r="R65" s="419">
        <f t="shared" si="1"/>
        <v>156619628</v>
      </c>
      <c r="S65" s="420">
        <f t="shared" si="3"/>
        <v>0</v>
      </c>
      <c r="T65" s="421">
        <f t="shared" si="4"/>
        <v>-80000</v>
      </c>
      <c r="U65" s="421"/>
      <c r="V65" s="421">
        <f t="shared" si="5"/>
        <v>0</v>
      </c>
    </row>
    <row r="66" spans="1:22" ht="31.5">
      <c r="A66" s="423" t="s">
        <v>560</v>
      </c>
      <c r="B66" s="423" t="s">
        <v>166</v>
      </c>
      <c r="C66" s="423" t="s">
        <v>175</v>
      </c>
      <c r="D66" s="584" t="s">
        <v>176</v>
      </c>
      <c r="E66" s="601">
        <f t="shared" si="24"/>
        <v>65607970</v>
      </c>
      <c r="F66" s="601">
        <v>65607970</v>
      </c>
      <c r="G66" s="601"/>
      <c r="H66" s="601"/>
      <c r="I66" s="601"/>
      <c r="J66" s="601">
        <f t="shared" si="27"/>
        <v>9110000</v>
      </c>
      <c r="K66" s="601">
        <v>6559700</v>
      </c>
      <c r="L66" s="601"/>
      <c r="M66" s="601"/>
      <c r="N66" s="601">
        <f>2513000+25000+12300</f>
        <v>2550300</v>
      </c>
      <c r="O66" s="601">
        <f>13000+25000+12300</f>
        <v>50300</v>
      </c>
      <c r="P66" s="601">
        <v>50300</v>
      </c>
      <c r="Q66" s="601">
        <f t="shared" si="26"/>
        <v>74717970</v>
      </c>
      <c r="R66" s="419">
        <f t="shared" si="1"/>
        <v>74717970</v>
      </c>
      <c r="S66" s="420">
        <f t="shared" si="3"/>
        <v>0</v>
      </c>
      <c r="T66" s="421">
        <f t="shared" si="4"/>
        <v>0</v>
      </c>
      <c r="U66" s="421"/>
      <c r="V66" s="421">
        <f t="shared" si="5"/>
        <v>-2500000</v>
      </c>
    </row>
    <row r="67" spans="1:22" ht="31.5">
      <c r="A67" s="423" t="s">
        <v>561</v>
      </c>
      <c r="B67" s="423" t="s">
        <v>169</v>
      </c>
      <c r="C67" s="423" t="s">
        <v>175</v>
      </c>
      <c r="D67" s="584" t="s">
        <v>569</v>
      </c>
      <c r="E67" s="601">
        <f t="shared" si="24"/>
        <v>7813210</v>
      </c>
      <c r="F67" s="601">
        <v>7813210</v>
      </c>
      <c r="G67" s="601"/>
      <c r="H67" s="601"/>
      <c r="I67" s="601"/>
      <c r="J67" s="601">
        <f t="shared" si="27"/>
        <v>9000000</v>
      </c>
      <c r="K67" s="601">
        <v>7600000</v>
      </c>
      <c r="L67" s="601"/>
      <c r="M67" s="601"/>
      <c r="N67" s="601">
        <v>1400000</v>
      </c>
      <c r="O67" s="601"/>
      <c r="P67" s="601"/>
      <c r="Q67" s="601">
        <f t="shared" si="26"/>
        <v>16813210</v>
      </c>
      <c r="R67" s="419">
        <f t="shared" si="1"/>
        <v>16813210</v>
      </c>
      <c r="S67" s="420">
        <f t="shared" si="3"/>
        <v>0</v>
      </c>
      <c r="T67" s="421">
        <f t="shared" si="4"/>
        <v>0</v>
      </c>
      <c r="U67" s="421"/>
      <c r="V67" s="421">
        <f t="shared" si="5"/>
        <v>-1400000</v>
      </c>
    </row>
    <row r="68" spans="1:22" ht="31.5">
      <c r="A68" s="423" t="s">
        <v>562</v>
      </c>
      <c r="B68" s="423" t="s">
        <v>174</v>
      </c>
      <c r="C68" s="423" t="s">
        <v>203</v>
      </c>
      <c r="D68" s="584" t="s">
        <v>204</v>
      </c>
      <c r="E68" s="601">
        <f t="shared" si="24"/>
        <v>10252790</v>
      </c>
      <c r="F68" s="601">
        <v>10252790</v>
      </c>
      <c r="G68" s="601"/>
      <c r="H68" s="601"/>
      <c r="I68" s="601"/>
      <c r="J68" s="601">
        <f t="shared" si="27"/>
        <v>0</v>
      </c>
      <c r="K68" s="601"/>
      <c r="L68" s="601"/>
      <c r="M68" s="601"/>
      <c r="N68" s="601"/>
      <c r="O68" s="601"/>
      <c r="P68" s="601"/>
      <c r="Q68" s="601">
        <f t="shared" si="26"/>
        <v>10252790</v>
      </c>
      <c r="R68" s="419">
        <f t="shared" si="1"/>
        <v>10252790</v>
      </c>
      <c r="S68" s="420">
        <f t="shared" si="3"/>
        <v>0</v>
      </c>
      <c r="T68" s="421">
        <f t="shared" si="4"/>
        <v>0</v>
      </c>
      <c r="U68" s="421"/>
      <c r="V68" s="421">
        <f t="shared" si="5"/>
        <v>0</v>
      </c>
    </row>
    <row r="69" spans="1:22" s="586" customFormat="1" ht="31.5">
      <c r="A69" s="577" t="s">
        <v>563</v>
      </c>
      <c r="B69" s="577" t="s">
        <v>177</v>
      </c>
      <c r="C69" s="577"/>
      <c r="D69" s="602" t="s">
        <v>205</v>
      </c>
      <c r="E69" s="579">
        <f>SUBTOTAL(9,E70:E71)</f>
        <v>830300</v>
      </c>
      <c r="F69" s="579">
        <f t="shared" ref="F69:Q69" si="28">SUBTOTAL(9,F70:F71)</f>
        <v>830300</v>
      </c>
      <c r="G69" s="579">
        <f t="shared" si="28"/>
        <v>0</v>
      </c>
      <c r="H69" s="579">
        <f t="shared" si="28"/>
        <v>0</v>
      </c>
      <c r="I69" s="579">
        <f t="shared" si="28"/>
        <v>0</v>
      </c>
      <c r="J69" s="579">
        <f t="shared" si="28"/>
        <v>0</v>
      </c>
      <c r="K69" s="579">
        <f t="shared" si="28"/>
        <v>0</v>
      </c>
      <c r="L69" s="579">
        <f t="shared" si="28"/>
        <v>0</v>
      </c>
      <c r="M69" s="579">
        <f t="shared" si="28"/>
        <v>0</v>
      </c>
      <c r="N69" s="579">
        <f t="shared" si="28"/>
        <v>0</v>
      </c>
      <c r="O69" s="579">
        <f t="shared" si="28"/>
        <v>0</v>
      </c>
      <c r="P69" s="579">
        <f t="shared" si="28"/>
        <v>0</v>
      </c>
      <c r="Q69" s="579">
        <f t="shared" si="28"/>
        <v>830300</v>
      </c>
      <c r="R69" s="419">
        <f t="shared" si="1"/>
        <v>830300</v>
      </c>
      <c r="S69" s="420">
        <f t="shared" si="3"/>
        <v>0</v>
      </c>
      <c r="T69" s="421">
        <f t="shared" si="4"/>
        <v>0</v>
      </c>
      <c r="U69" s="421"/>
      <c r="V69" s="421">
        <f t="shared" si="5"/>
        <v>0</v>
      </c>
    </row>
    <row r="70" spans="1:22" s="587" customFormat="1" ht="47.25">
      <c r="A70" s="417" t="s">
        <v>576</v>
      </c>
      <c r="B70" s="417" t="s">
        <v>577</v>
      </c>
      <c r="C70" s="603" t="s">
        <v>203</v>
      </c>
      <c r="D70" s="604" t="s">
        <v>1670</v>
      </c>
      <c r="E70" s="582">
        <f>F70+I70</f>
        <v>830300</v>
      </c>
      <c r="F70" s="546">
        <v>830300</v>
      </c>
      <c r="G70" s="546"/>
      <c r="H70" s="546"/>
      <c r="I70" s="546"/>
      <c r="J70" s="546">
        <f>+K70+N70</f>
        <v>0</v>
      </c>
      <c r="K70" s="547"/>
      <c r="L70" s="547"/>
      <c r="M70" s="547"/>
      <c r="N70" s="546"/>
      <c r="O70" s="547"/>
      <c r="P70" s="547"/>
      <c r="Q70" s="546">
        <f>+J70+E70</f>
        <v>830300</v>
      </c>
      <c r="R70" s="419">
        <f t="shared" si="1"/>
        <v>830300</v>
      </c>
      <c r="S70" s="420">
        <f t="shared" si="3"/>
        <v>0</v>
      </c>
      <c r="T70" s="421">
        <f t="shared" si="4"/>
        <v>0</v>
      </c>
      <c r="U70" s="421"/>
      <c r="V70" s="421">
        <f t="shared" si="5"/>
        <v>0</v>
      </c>
    </row>
    <row r="71" spans="1:22" s="180" customFormat="1" ht="47.25" hidden="1">
      <c r="A71" s="179" t="s">
        <v>578</v>
      </c>
      <c r="B71" s="179" t="s">
        <v>579</v>
      </c>
      <c r="C71" s="182" t="s">
        <v>203</v>
      </c>
      <c r="D71" s="183" t="s">
        <v>580</v>
      </c>
      <c r="E71" s="205">
        <f>F71+I71</f>
        <v>0</v>
      </c>
      <c r="F71" s="213"/>
      <c r="G71" s="203"/>
      <c r="H71" s="203"/>
      <c r="I71" s="203"/>
      <c r="J71" s="203">
        <f>+K71+N71</f>
        <v>0</v>
      </c>
      <c r="K71" s="206"/>
      <c r="L71" s="206"/>
      <c r="M71" s="206"/>
      <c r="N71" s="203"/>
      <c r="O71" s="206"/>
      <c r="P71" s="206"/>
      <c r="Q71" s="203">
        <f>+J71+E71</f>
        <v>0</v>
      </c>
      <c r="R71" s="419">
        <f t="shared" si="1"/>
        <v>0</v>
      </c>
      <c r="S71" s="169">
        <f t="shared" si="3"/>
        <v>0</v>
      </c>
      <c r="T71" s="339">
        <f t="shared" si="4"/>
        <v>0</v>
      </c>
      <c r="U71" s="339"/>
      <c r="V71" s="339">
        <f t="shared" si="5"/>
        <v>0</v>
      </c>
    </row>
    <row r="72" spans="1:22" s="586" customFormat="1" ht="31.5">
      <c r="A72" s="577" t="s">
        <v>570</v>
      </c>
      <c r="B72" s="577" t="s">
        <v>571</v>
      </c>
      <c r="C72" s="577"/>
      <c r="D72" s="602" t="s">
        <v>572</v>
      </c>
      <c r="E72" s="579">
        <f>SUM(E73:E74)</f>
        <v>58504484.409999996</v>
      </c>
      <c r="F72" s="579">
        <f t="shared" ref="F72:Q72" si="29">SUM(F73:F74)</f>
        <v>58504484.409999996</v>
      </c>
      <c r="G72" s="579">
        <f t="shared" si="29"/>
        <v>0</v>
      </c>
      <c r="H72" s="579">
        <f t="shared" si="29"/>
        <v>0</v>
      </c>
      <c r="I72" s="579">
        <f t="shared" si="29"/>
        <v>0</v>
      </c>
      <c r="J72" s="579">
        <f t="shared" si="29"/>
        <v>26618232</v>
      </c>
      <c r="K72" s="579">
        <f t="shared" si="29"/>
        <v>500000</v>
      </c>
      <c r="L72" s="579">
        <f t="shared" si="29"/>
        <v>0</v>
      </c>
      <c r="M72" s="579">
        <f t="shared" si="29"/>
        <v>0</v>
      </c>
      <c r="N72" s="579">
        <f t="shared" si="29"/>
        <v>26118232</v>
      </c>
      <c r="O72" s="579">
        <f t="shared" si="29"/>
        <v>26118232</v>
      </c>
      <c r="P72" s="579">
        <f t="shared" si="29"/>
        <v>26118232</v>
      </c>
      <c r="Q72" s="579">
        <f t="shared" si="29"/>
        <v>85122716.409999996</v>
      </c>
      <c r="R72" s="419">
        <f t="shared" si="1"/>
        <v>85122716.409999996</v>
      </c>
      <c r="S72" s="420">
        <f t="shared" si="3"/>
        <v>0</v>
      </c>
      <c r="T72" s="421">
        <f t="shared" si="4"/>
        <v>0</v>
      </c>
      <c r="U72" s="421"/>
      <c r="V72" s="421">
        <f t="shared" si="5"/>
        <v>0</v>
      </c>
    </row>
    <row r="73" spans="1:22" s="587" customFormat="1" ht="47.25">
      <c r="A73" s="417" t="s">
        <v>573</v>
      </c>
      <c r="B73" s="417" t="s">
        <v>574</v>
      </c>
      <c r="C73" s="603" t="s">
        <v>203</v>
      </c>
      <c r="D73" s="604" t="s">
        <v>575</v>
      </c>
      <c r="E73" s="582">
        <f t="shared" si="24"/>
        <v>25547758</v>
      </c>
      <c r="F73" s="546">
        <v>25547758</v>
      </c>
      <c r="G73" s="546"/>
      <c r="H73" s="546"/>
      <c r="I73" s="546"/>
      <c r="J73" s="546">
        <f t="shared" si="27"/>
        <v>1809500</v>
      </c>
      <c r="K73" s="547">
        <v>500000</v>
      </c>
      <c r="L73" s="547"/>
      <c r="M73" s="547"/>
      <c r="N73" s="546">
        <v>1309500</v>
      </c>
      <c r="O73" s="547">
        <v>1309500</v>
      </c>
      <c r="P73" s="547">
        <v>1309500</v>
      </c>
      <c r="Q73" s="546">
        <f t="shared" ref="Q73:Q81" si="30">+J73+E73</f>
        <v>27357258</v>
      </c>
      <c r="R73" s="419">
        <f t="shared" si="1"/>
        <v>27357258</v>
      </c>
      <c r="S73" s="420">
        <f t="shared" si="3"/>
        <v>0</v>
      </c>
      <c r="T73" s="421">
        <f t="shared" si="4"/>
        <v>0</v>
      </c>
      <c r="U73" s="421"/>
      <c r="V73" s="421">
        <f t="shared" si="5"/>
        <v>0</v>
      </c>
    </row>
    <row r="74" spans="1:22" s="587" customFormat="1" ht="31.5">
      <c r="A74" s="417" t="s">
        <v>581</v>
      </c>
      <c r="B74" s="417" t="s">
        <v>582</v>
      </c>
      <c r="C74" s="603" t="s">
        <v>203</v>
      </c>
      <c r="D74" s="604" t="s">
        <v>583</v>
      </c>
      <c r="E74" s="582">
        <f>F74+I74</f>
        <v>32956726.41</v>
      </c>
      <c r="F74" s="546">
        <v>32956726.41</v>
      </c>
      <c r="G74" s="546"/>
      <c r="H74" s="546"/>
      <c r="I74" s="546"/>
      <c r="J74" s="546">
        <f>+K74+N74</f>
        <v>24808732</v>
      </c>
      <c r="K74" s="547"/>
      <c r="L74" s="547"/>
      <c r="M74" s="547"/>
      <c r="N74" s="546">
        <v>24808732</v>
      </c>
      <c r="O74" s="547">
        <v>24808732</v>
      </c>
      <c r="P74" s="547">
        <v>24808732</v>
      </c>
      <c r="Q74" s="546">
        <f t="shared" si="30"/>
        <v>57765458.409999996</v>
      </c>
      <c r="R74" s="419">
        <f t="shared" si="1"/>
        <v>57765458.409999996</v>
      </c>
      <c r="S74" s="420">
        <f t="shared" si="3"/>
        <v>0</v>
      </c>
      <c r="T74" s="421">
        <f t="shared" si="4"/>
        <v>0</v>
      </c>
      <c r="U74" s="421"/>
      <c r="V74" s="421">
        <f t="shared" si="5"/>
        <v>0</v>
      </c>
    </row>
    <row r="75" spans="1:22" s="269" customFormat="1" ht="15.75" hidden="1">
      <c r="A75" s="27" t="s">
        <v>584</v>
      </c>
      <c r="B75" s="27" t="s">
        <v>354</v>
      </c>
      <c r="C75" s="27" t="s">
        <v>207</v>
      </c>
      <c r="D75" s="26" t="s">
        <v>585</v>
      </c>
      <c r="E75" s="209">
        <f t="shared" si="24"/>
        <v>0</v>
      </c>
      <c r="F75" s="209">
        <f>737630-90440-647190</f>
        <v>0</v>
      </c>
      <c r="G75" s="201">
        <f>507500-507500</f>
        <v>0</v>
      </c>
      <c r="H75" s="201">
        <f>61920-29440-32480</f>
        <v>0</v>
      </c>
      <c r="I75" s="201"/>
      <c r="J75" s="201">
        <f t="shared" si="27"/>
        <v>0</v>
      </c>
      <c r="K75" s="201"/>
      <c r="L75" s="201"/>
      <c r="M75" s="201"/>
      <c r="N75" s="201"/>
      <c r="O75" s="201"/>
      <c r="P75" s="201"/>
      <c r="Q75" s="209">
        <f t="shared" si="30"/>
        <v>0</v>
      </c>
      <c r="R75" s="419">
        <f t="shared" si="1"/>
        <v>0</v>
      </c>
      <c r="S75" s="149">
        <f t="shared" si="3"/>
        <v>0</v>
      </c>
      <c r="T75" s="339">
        <f t="shared" si="4"/>
        <v>0</v>
      </c>
      <c r="U75" s="339"/>
      <c r="V75" s="339">
        <f t="shared" si="5"/>
        <v>0</v>
      </c>
    </row>
    <row r="76" spans="1:22" ht="15.75">
      <c r="A76" s="577" t="s">
        <v>3180</v>
      </c>
      <c r="B76" s="577" t="s">
        <v>738</v>
      </c>
      <c r="C76" s="577"/>
      <c r="D76" s="578" t="s">
        <v>739</v>
      </c>
      <c r="E76" s="605">
        <f>E77</f>
        <v>60000</v>
      </c>
      <c r="F76" s="605">
        <f t="shared" ref="F76:Q76" si="31">F77</f>
        <v>60000</v>
      </c>
      <c r="G76" s="605">
        <f t="shared" si="31"/>
        <v>0</v>
      </c>
      <c r="H76" s="605">
        <f t="shared" si="31"/>
        <v>0</v>
      </c>
      <c r="I76" s="605">
        <f t="shared" si="31"/>
        <v>0</v>
      </c>
      <c r="J76" s="605">
        <f t="shared" si="31"/>
        <v>0</v>
      </c>
      <c r="K76" s="605">
        <f t="shared" si="31"/>
        <v>0</v>
      </c>
      <c r="L76" s="605">
        <f t="shared" si="31"/>
        <v>0</v>
      </c>
      <c r="M76" s="605">
        <f t="shared" si="31"/>
        <v>0</v>
      </c>
      <c r="N76" s="605">
        <f t="shared" si="31"/>
        <v>0</v>
      </c>
      <c r="O76" s="605">
        <f t="shared" si="31"/>
        <v>0</v>
      </c>
      <c r="P76" s="605">
        <f t="shared" si="31"/>
        <v>0</v>
      </c>
      <c r="Q76" s="605">
        <f t="shared" si="31"/>
        <v>60000</v>
      </c>
      <c r="R76" s="419">
        <f t="shared" si="1"/>
        <v>60000</v>
      </c>
      <c r="S76" s="606"/>
      <c r="T76" s="421"/>
      <c r="U76" s="421"/>
      <c r="V76" s="421"/>
    </row>
    <row r="77" spans="1:22" s="609" customFormat="1" ht="31.5">
      <c r="A77" s="417" t="s">
        <v>3179</v>
      </c>
      <c r="B77" s="417" t="s">
        <v>736</v>
      </c>
      <c r="C77" s="417" t="s">
        <v>358</v>
      </c>
      <c r="D77" s="581" t="s">
        <v>191</v>
      </c>
      <c r="E77" s="582">
        <f>F77+I77</f>
        <v>60000</v>
      </c>
      <c r="F77" s="601">
        <v>60000</v>
      </c>
      <c r="G77" s="601"/>
      <c r="H77" s="601"/>
      <c r="I77" s="601"/>
      <c r="J77" s="546">
        <f>+K77+N77</f>
        <v>0</v>
      </c>
      <c r="K77" s="601"/>
      <c r="L77" s="601"/>
      <c r="M77" s="601"/>
      <c r="N77" s="601"/>
      <c r="O77" s="601"/>
      <c r="P77" s="601"/>
      <c r="Q77" s="546">
        <f>+J77+E77</f>
        <v>60000</v>
      </c>
      <c r="R77" s="419">
        <f t="shared" si="1"/>
        <v>60000</v>
      </c>
      <c r="S77" s="607"/>
      <c r="T77" s="608"/>
      <c r="U77" s="608"/>
      <c r="V77" s="608"/>
    </row>
    <row r="78" spans="1:22" ht="78.75">
      <c r="A78" s="423" t="s">
        <v>586</v>
      </c>
      <c r="B78" s="423" t="s">
        <v>587</v>
      </c>
      <c r="C78" s="423" t="s">
        <v>10</v>
      </c>
      <c r="D78" s="584" t="s">
        <v>588</v>
      </c>
      <c r="E78" s="601">
        <f t="shared" si="24"/>
        <v>81018900</v>
      </c>
      <c r="F78" s="601">
        <f>24827900+2759650.52-2759650.52+41810000+14181000+200000</f>
        <v>81018900</v>
      </c>
      <c r="G78" s="601"/>
      <c r="H78" s="601"/>
      <c r="I78" s="601"/>
      <c r="J78" s="601">
        <f t="shared" si="27"/>
        <v>0</v>
      </c>
      <c r="K78" s="601"/>
      <c r="L78" s="601"/>
      <c r="M78" s="601"/>
      <c r="N78" s="601"/>
      <c r="O78" s="601"/>
      <c r="P78" s="601"/>
      <c r="Q78" s="601">
        <f t="shared" si="30"/>
        <v>81018900</v>
      </c>
      <c r="R78" s="419">
        <f t="shared" si="1"/>
        <v>81018900</v>
      </c>
      <c r="S78" s="420">
        <f t="shared" si="3"/>
        <v>0</v>
      </c>
      <c r="T78" s="421">
        <f t="shared" si="4"/>
        <v>0</v>
      </c>
      <c r="U78" s="421"/>
      <c r="V78" s="421">
        <f t="shared" si="5"/>
        <v>0</v>
      </c>
    </row>
    <row r="79" spans="1:22" ht="63">
      <c r="A79" s="423" t="s">
        <v>589</v>
      </c>
      <c r="B79" s="423" t="s">
        <v>590</v>
      </c>
      <c r="C79" s="423" t="s">
        <v>10</v>
      </c>
      <c r="D79" s="584" t="s">
        <v>591</v>
      </c>
      <c r="E79" s="601">
        <f t="shared" si="24"/>
        <v>2759650.52</v>
      </c>
      <c r="F79" s="601">
        <v>2759650.52</v>
      </c>
      <c r="G79" s="601"/>
      <c r="H79" s="601"/>
      <c r="I79" s="601"/>
      <c r="J79" s="601">
        <f t="shared" si="27"/>
        <v>0</v>
      </c>
      <c r="K79" s="601"/>
      <c r="L79" s="601"/>
      <c r="M79" s="601"/>
      <c r="N79" s="601"/>
      <c r="O79" s="601"/>
      <c r="P79" s="601"/>
      <c r="Q79" s="601">
        <f t="shared" si="30"/>
        <v>2759650.52</v>
      </c>
      <c r="R79" s="419">
        <f t="shared" si="1"/>
        <v>2759650.52</v>
      </c>
      <c r="S79" s="420">
        <f t="shared" si="3"/>
        <v>0</v>
      </c>
      <c r="T79" s="421">
        <f t="shared" si="4"/>
        <v>0</v>
      </c>
      <c r="U79" s="421"/>
      <c r="V79" s="421">
        <f t="shared" si="5"/>
        <v>0</v>
      </c>
    </row>
    <row r="80" spans="1:22" ht="94.5">
      <c r="A80" s="423" t="s">
        <v>592</v>
      </c>
      <c r="B80" s="423" t="s">
        <v>593</v>
      </c>
      <c r="C80" s="423" t="s">
        <v>10</v>
      </c>
      <c r="D80" s="584" t="s">
        <v>594</v>
      </c>
      <c r="E80" s="601">
        <f t="shared" si="24"/>
        <v>34467500</v>
      </c>
      <c r="F80" s="601">
        <f>31967500+2500000</f>
        <v>34467500</v>
      </c>
      <c r="G80" s="601"/>
      <c r="H80" s="601"/>
      <c r="I80" s="601"/>
      <c r="J80" s="601">
        <f t="shared" si="27"/>
        <v>0</v>
      </c>
      <c r="K80" s="601"/>
      <c r="L80" s="601"/>
      <c r="M80" s="601"/>
      <c r="N80" s="601"/>
      <c r="O80" s="601"/>
      <c r="P80" s="601"/>
      <c r="Q80" s="601">
        <f t="shared" si="30"/>
        <v>34467500</v>
      </c>
      <c r="R80" s="419">
        <f t="shared" si="1"/>
        <v>34467500</v>
      </c>
      <c r="S80" s="420">
        <f t="shared" si="3"/>
        <v>0</v>
      </c>
      <c r="T80" s="421">
        <f t="shared" ref="T80:T143" si="32">P80-O80</f>
        <v>0</v>
      </c>
      <c r="U80" s="421"/>
      <c r="V80" s="421">
        <f t="shared" ref="V80:V143" si="33">O80-N80</f>
        <v>0</v>
      </c>
    </row>
    <row r="81" spans="1:22" s="17" customFormat="1" ht="31.5" hidden="1">
      <c r="A81" s="27" t="s">
        <v>595</v>
      </c>
      <c r="B81" s="24">
        <v>9770</v>
      </c>
      <c r="C81" s="27" t="s">
        <v>10</v>
      </c>
      <c r="D81" s="26" t="s">
        <v>596</v>
      </c>
      <c r="E81" s="209">
        <f t="shared" si="24"/>
        <v>0</v>
      </c>
      <c r="F81" s="35"/>
      <c r="G81" s="35"/>
      <c r="H81" s="35"/>
      <c r="I81" s="35"/>
      <c r="J81" s="209">
        <f t="shared" si="27"/>
        <v>0</v>
      </c>
      <c r="K81" s="35"/>
      <c r="L81" s="35"/>
      <c r="M81" s="35"/>
      <c r="N81" s="35"/>
      <c r="O81" s="35"/>
      <c r="P81" s="35"/>
      <c r="Q81" s="209">
        <f t="shared" si="30"/>
        <v>0</v>
      </c>
      <c r="R81" s="419">
        <f t="shared" si="1"/>
        <v>0</v>
      </c>
      <c r="S81" s="169">
        <f t="shared" si="3"/>
        <v>0</v>
      </c>
      <c r="T81" s="339">
        <f t="shared" si="32"/>
        <v>0</v>
      </c>
      <c r="U81" s="339"/>
      <c r="V81" s="339">
        <f t="shared" si="33"/>
        <v>0</v>
      </c>
    </row>
    <row r="82" spans="1:22" s="600" customFormat="1" ht="63">
      <c r="A82" s="598" t="s">
        <v>600</v>
      </c>
      <c r="B82" s="598"/>
      <c r="C82" s="598"/>
      <c r="D82" s="589" t="s">
        <v>1751</v>
      </c>
      <c r="E82" s="590">
        <f>E89+E90+E91+E105+E101+E102+E87+E86+E92+E115+E107+E99++E110+E111+E116+E104+E94+E96+E97+E98+E113++E108+E85+E114</f>
        <v>309279920.64999998</v>
      </c>
      <c r="F82" s="590">
        <f t="shared" ref="F82:Q82" si="34">F89+F90+F91+F105+F101+F102+F87+F86+F92+F115+F107+F99++F110+F111+F116+F104+F94+F96+F97+F98+F113++F108+F85+F114</f>
        <v>239985000</v>
      </c>
      <c r="G82" s="590">
        <f t="shared" si="34"/>
        <v>103821300</v>
      </c>
      <c r="H82" s="590">
        <f t="shared" si="34"/>
        <v>24335175</v>
      </c>
      <c r="I82" s="590">
        <f t="shared" si="34"/>
        <v>69294920.650000006</v>
      </c>
      <c r="J82" s="590">
        <f t="shared" si="34"/>
        <v>40006918.350000001</v>
      </c>
      <c r="K82" s="590">
        <f t="shared" si="34"/>
        <v>33506500</v>
      </c>
      <c r="L82" s="590">
        <f t="shared" si="34"/>
        <v>191600</v>
      </c>
      <c r="M82" s="590">
        <f t="shared" si="34"/>
        <v>20500</v>
      </c>
      <c r="N82" s="590">
        <f t="shared" si="34"/>
        <v>6500418.3499999996</v>
      </c>
      <c r="O82" s="590">
        <f t="shared" si="34"/>
        <v>6351418.3499999996</v>
      </c>
      <c r="P82" s="590">
        <f t="shared" si="34"/>
        <v>6316418.3499999996</v>
      </c>
      <c r="Q82" s="590">
        <f t="shared" si="34"/>
        <v>349286839</v>
      </c>
      <c r="R82" s="419">
        <f t="shared" si="1"/>
        <v>349286839</v>
      </c>
      <c r="S82" s="420">
        <f t="shared" si="3"/>
        <v>0</v>
      </c>
      <c r="T82" s="421">
        <f t="shared" si="32"/>
        <v>-35000</v>
      </c>
      <c r="U82" s="421"/>
      <c r="V82" s="421">
        <f t="shared" si="33"/>
        <v>-149000</v>
      </c>
    </row>
    <row r="83" spans="1:22" s="610" customFormat="1" ht="63">
      <c r="A83" s="598" t="s">
        <v>601</v>
      </c>
      <c r="B83" s="598"/>
      <c r="C83" s="598"/>
      <c r="D83" s="589" t="s">
        <v>1751</v>
      </c>
      <c r="E83" s="590">
        <f>E86+E87+E88+E99+E105+E106+E100+E109+E116+E103+E93+E95+E85+E112</f>
        <v>309279920.64999998</v>
      </c>
      <c r="F83" s="590">
        <f t="shared" ref="F83:Q83" si="35">F86+F87+F88+F99+F105+F106+F100+F109+F116+F103+F93+F95+F85+F112</f>
        <v>239985000</v>
      </c>
      <c r="G83" s="590">
        <f t="shared" si="35"/>
        <v>103821300</v>
      </c>
      <c r="H83" s="590">
        <f t="shared" si="35"/>
        <v>24335175</v>
      </c>
      <c r="I83" s="590">
        <f t="shared" si="35"/>
        <v>69294920.650000006</v>
      </c>
      <c r="J83" s="590">
        <f t="shared" si="35"/>
        <v>40006918.350000001</v>
      </c>
      <c r="K83" s="590">
        <f t="shared" si="35"/>
        <v>33506500</v>
      </c>
      <c r="L83" s="590">
        <f t="shared" si="35"/>
        <v>191600</v>
      </c>
      <c r="M83" s="590">
        <f t="shared" si="35"/>
        <v>20500</v>
      </c>
      <c r="N83" s="590">
        <f t="shared" si="35"/>
        <v>6500418.3499999996</v>
      </c>
      <c r="O83" s="590">
        <f t="shared" si="35"/>
        <v>6351418.3499999996</v>
      </c>
      <c r="P83" s="590">
        <f t="shared" si="35"/>
        <v>6316418.3499999996</v>
      </c>
      <c r="Q83" s="590">
        <f t="shared" si="35"/>
        <v>349286839</v>
      </c>
      <c r="R83" s="419">
        <f t="shared" ref="R83:R146" si="36">+E83+J83</f>
        <v>349286839</v>
      </c>
      <c r="S83" s="420">
        <f t="shared" ref="S83:S163" si="37">R83-Q83</f>
        <v>0</v>
      </c>
      <c r="T83" s="421">
        <f t="shared" si="32"/>
        <v>-35000</v>
      </c>
      <c r="U83" s="421"/>
      <c r="V83" s="421">
        <f t="shared" si="33"/>
        <v>-149000</v>
      </c>
    </row>
    <row r="84" spans="1:22" s="422" customFormat="1" ht="31.15" customHeight="1">
      <c r="A84" s="577" t="s">
        <v>1856</v>
      </c>
      <c r="B84" s="577" t="s">
        <v>1858</v>
      </c>
      <c r="C84" s="577"/>
      <c r="D84" s="611" t="s">
        <v>1857</v>
      </c>
      <c r="E84" s="579">
        <f>E85</f>
        <v>20920500</v>
      </c>
      <c r="F84" s="579">
        <f t="shared" ref="F84:Q84" si="38">F85</f>
        <v>20920500</v>
      </c>
      <c r="G84" s="579">
        <f t="shared" si="38"/>
        <v>0</v>
      </c>
      <c r="H84" s="579">
        <f t="shared" si="38"/>
        <v>0</v>
      </c>
      <c r="I84" s="579">
        <f t="shared" si="38"/>
        <v>0</v>
      </c>
      <c r="J84" s="579">
        <f t="shared" si="38"/>
        <v>0</v>
      </c>
      <c r="K84" s="579">
        <f t="shared" si="38"/>
        <v>0</v>
      </c>
      <c r="L84" s="579">
        <f t="shared" si="38"/>
        <v>0</v>
      </c>
      <c r="M84" s="579">
        <f t="shared" si="38"/>
        <v>0</v>
      </c>
      <c r="N84" s="579">
        <f t="shared" si="38"/>
        <v>0</v>
      </c>
      <c r="O84" s="579">
        <f t="shared" si="38"/>
        <v>0</v>
      </c>
      <c r="P84" s="579">
        <f t="shared" si="38"/>
        <v>0</v>
      </c>
      <c r="Q84" s="579">
        <f t="shared" si="38"/>
        <v>20920500</v>
      </c>
      <c r="R84" s="419">
        <f t="shared" si="36"/>
        <v>20920500</v>
      </c>
      <c r="S84" s="420"/>
      <c r="T84" s="421">
        <f t="shared" si="32"/>
        <v>0</v>
      </c>
      <c r="U84" s="421"/>
      <c r="V84" s="421">
        <f t="shared" si="33"/>
        <v>0</v>
      </c>
    </row>
    <row r="85" spans="1:22" s="422" customFormat="1" ht="47.25">
      <c r="A85" s="423" t="s">
        <v>1855</v>
      </c>
      <c r="B85" s="423" t="s">
        <v>1859</v>
      </c>
      <c r="C85" s="423" t="s">
        <v>14</v>
      </c>
      <c r="D85" s="597" t="s">
        <v>1860</v>
      </c>
      <c r="E85" s="549">
        <f>F85+I85</f>
        <v>20920500</v>
      </c>
      <c r="F85" s="549">
        <f>25975500-5155000+100000</f>
        <v>20920500</v>
      </c>
      <c r="G85" s="612"/>
      <c r="H85" s="612"/>
      <c r="I85" s="612"/>
      <c r="J85" s="549">
        <f>+K85+N85</f>
        <v>0</v>
      </c>
      <c r="K85" s="612"/>
      <c r="L85" s="612"/>
      <c r="M85" s="612"/>
      <c r="N85" s="612"/>
      <c r="O85" s="612"/>
      <c r="P85" s="612"/>
      <c r="Q85" s="549">
        <f>+J85+E85</f>
        <v>20920500</v>
      </c>
      <c r="R85" s="419">
        <f t="shared" si="36"/>
        <v>20920500</v>
      </c>
      <c r="S85" s="420"/>
      <c r="T85" s="421">
        <f t="shared" si="32"/>
        <v>0</v>
      </c>
      <c r="U85" s="421"/>
      <c r="V85" s="421">
        <f t="shared" si="33"/>
        <v>0</v>
      </c>
    </row>
    <row r="86" spans="1:22" s="148" customFormat="1" ht="63" hidden="1">
      <c r="A86" s="27" t="s">
        <v>602</v>
      </c>
      <c r="B86" s="27" t="s">
        <v>208</v>
      </c>
      <c r="C86" s="27" t="s">
        <v>18</v>
      </c>
      <c r="D86" s="25" t="s">
        <v>209</v>
      </c>
      <c r="E86" s="199">
        <f>F86+I86</f>
        <v>0</v>
      </c>
      <c r="F86" s="199"/>
      <c r="G86" s="211"/>
      <c r="H86" s="211"/>
      <c r="I86" s="212"/>
      <c r="J86" s="199">
        <f>+K86+N86</f>
        <v>0</v>
      </c>
      <c r="K86" s="211"/>
      <c r="L86" s="211"/>
      <c r="M86" s="211"/>
      <c r="N86" s="211"/>
      <c r="O86" s="211"/>
      <c r="P86" s="211"/>
      <c r="Q86" s="199">
        <f>+J86+E86</f>
        <v>0</v>
      </c>
      <c r="R86" s="419">
        <f t="shared" si="36"/>
        <v>0</v>
      </c>
      <c r="S86" s="169">
        <f t="shared" si="37"/>
        <v>0</v>
      </c>
      <c r="T86" s="339">
        <f t="shared" si="32"/>
        <v>0</v>
      </c>
      <c r="U86" s="339"/>
      <c r="V86" s="339">
        <f t="shared" si="33"/>
        <v>0</v>
      </c>
    </row>
    <row r="87" spans="1:22" ht="47.25">
      <c r="A87" s="423" t="s">
        <v>603</v>
      </c>
      <c r="B87" s="423" t="s">
        <v>210</v>
      </c>
      <c r="C87" s="423" t="s">
        <v>211</v>
      </c>
      <c r="D87" s="584" t="s">
        <v>970</v>
      </c>
      <c r="E87" s="549">
        <f>F87+I87</f>
        <v>627700</v>
      </c>
      <c r="F87" s="549">
        <f>861700-234000</f>
        <v>627700</v>
      </c>
      <c r="G87" s="549"/>
      <c r="H87" s="549"/>
      <c r="I87" s="549"/>
      <c r="J87" s="549">
        <f>+K87+N87</f>
        <v>0</v>
      </c>
      <c r="K87" s="550"/>
      <c r="L87" s="550"/>
      <c r="M87" s="550"/>
      <c r="N87" s="549"/>
      <c r="O87" s="550"/>
      <c r="P87" s="550"/>
      <c r="Q87" s="549">
        <f>+J87+E87</f>
        <v>627700</v>
      </c>
      <c r="R87" s="419">
        <f t="shared" si="36"/>
        <v>627700</v>
      </c>
      <c r="S87" s="420">
        <f t="shared" si="37"/>
        <v>0</v>
      </c>
      <c r="T87" s="421">
        <f t="shared" si="32"/>
        <v>0</v>
      </c>
      <c r="U87" s="421"/>
      <c r="V87" s="421">
        <f t="shared" si="33"/>
        <v>0</v>
      </c>
    </row>
    <row r="88" spans="1:22" s="586" customFormat="1" ht="94.5">
      <c r="A88" s="577" t="s">
        <v>604</v>
      </c>
      <c r="B88" s="577">
        <v>3100</v>
      </c>
      <c r="C88" s="577"/>
      <c r="D88" s="578" t="s">
        <v>971</v>
      </c>
      <c r="E88" s="579">
        <f>E89+E90+E91+E92</f>
        <v>177230300</v>
      </c>
      <c r="F88" s="579">
        <f t="shared" ref="F88:Q88" si="39">F89+F90+F91+F92</f>
        <v>177230300</v>
      </c>
      <c r="G88" s="579">
        <f t="shared" si="39"/>
        <v>92866700</v>
      </c>
      <c r="H88" s="579">
        <f t="shared" si="39"/>
        <v>23479905</v>
      </c>
      <c r="I88" s="579">
        <f t="shared" si="39"/>
        <v>0</v>
      </c>
      <c r="J88" s="579">
        <f t="shared" si="39"/>
        <v>34668179</v>
      </c>
      <c r="K88" s="579">
        <f t="shared" si="39"/>
        <v>33506500</v>
      </c>
      <c r="L88" s="579">
        <f t="shared" si="39"/>
        <v>191600</v>
      </c>
      <c r="M88" s="579">
        <f t="shared" si="39"/>
        <v>20500</v>
      </c>
      <c r="N88" s="579">
        <f t="shared" si="39"/>
        <v>1161679</v>
      </c>
      <c r="O88" s="579">
        <f t="shared" si="39"/>
        <v>1012679</v>
      </c>
      <c r="P88" s="579">
        <f t="shared" si="39"/>
        <v>977679</v>
      </c>
      <c r="Q88" s="579">
        <f t="shared" si="39"/>
        <v>211898479</v>
      </c>
      <c r="R88" s="419">
        <f t="shared" si="36"/>
        <v>211898479</v>
      </c>
      <c r="S88" s="420">
        <f t="shared" si="37"/>
        <v>0</v>
      </c>
      <c r="T88" s="421">
        <f t="shared" si="32"/>
        <v>-35000</v>
      </c>
      <c r="U88" s="421"/>
      <c r="V88" s="421">
        <f t="shared" si="33"/>
        <v>-149000</v>
      </c>
    </row>
    <row r="89" spans="1:22" s="587" customFormat="1" ht="94.5">
      <c r="A89" s="417" t="s">
        <v>605</v>
      </c>
      <c r="B89" s="417" t="s">
        <v>212</v>
      </c>
      <c r="C89" s="417" t="s">
        <v>213</v>
      </c>
      <c r="D89" s="581" t="s">
        <v>214</v>
      </c>
      <c r="E89" s="546">
        <f>F89+I89</f>
        <v>31938200</v>
      </c>
      <c r="F89" s="546">
        <v>31938200</v>
      </c>
      <c r="G89" s="546">
        <v>17103500</v>
      </c>
      <c r="H89" s="546">
        <v>3170700</v>
      </c>
      <c r="I89" s="546"/>
      <c r="J89" s="546">
        <f>+K89+N89</f>
        <v>3818500</v>
      </c>
      <c r="K89" s="547">
        <v>3798500</v>
      </c>
      <c r="L89" s="547"/>
      <c r="M89" s="547"/>
      <c r="N89" s="546">
        <v>20000</v>
      </c>
      <c r="O89" s="546">
        <v>20000</v>
      </c>
      <c r="P89" s="546">
        <v>20000</v>
      </c>
      <c r="Q89" s="546">
        <f>+J89+E89</f>
        <v>35756700</v>
      </c>
      <c r="R89" s="419">
        <f t="shared" si="36"/>
        <v>35756700</v>
      </c>
      <c r="S89" s="420">
        <f t="shared" si="37"/>
        <v>0</v>
      </c>
      <c r="T89" s="421">
        <f t="shared" si="32"/>
        <v>0</v>
      </c>
      <c r="U89" s="421"/>
      <c r="V89" s="421">
        <f t="shared" si="33"/>
        <v>0</v>
      </c>
    </row>
    <row r="90" spans="1:22" s="587" customFormat="1" ht="157.5">
      <c r="A90" s="417" t="s">
        <v>606</v>
      </c>
      <c r="B90" s="417" t="s">
        <v>215</v>
      </c>
      <c r="C90" s="417" t="s">
        <v>216</v>
      </c>
      <c r="D90" s="581" t="s">
        <v>972</v>
      </c>
      <c r="E90" s="546">
        <f>F90+I90</f>
        <v>123050200</v>
      </c>
      <c r="F90" s="546">
        <f>123214200-164000</f>
        <v>123050200</v>
      </c>
      <c r="G90" s="546">
        <v>63876100</v>
      </c>
      <c r="H90" s="546">
        <f>17872505-164000</f>
        <v>17708505</v>
      </c>
      <c r="I90" s="546"/>
      <c r="J90" s="546">
        <f>+K90+N90</f>
        <v>30196379</v>
      </c>
      <c r="K90" s="547">
        <v>29303800</v>
      </c>
      <c r="L90" s="547"/>
      <c r="M90" s="547"/>
      <c r="N90" s="546">
        <v>892579</v>
      </c>
      <c r="O90" s="546">
        <v>892579</v>
      </c>
      <c r="P90" s="546">
        <v>857579</v>
      </c>
      <c r="Q90" s="546">
        <f>+J90+E90</f>
        <v>153246579</v>
      </c>
      <c r="R90" s="419">
        <f t="shared" si="36"/>
        <v>153246579</v>
      </c>
      <c r="S90" s="420">
        <v>35000</v>
      </c>
      <c r="T90" s="421">
        <f t="shared" si="32"/>
        <v>-35000</v>
      </c>
      <c r="U90" s="421"/>
      <c r="V90" s="421">
        <f t="shared" si="33"/>
        <v>0</v>
      </c>
    </row>
    <row r="91" spans="1:22" s="587" customFormat="1" ht="31.5">
      <c r="A91" s="417" t="s">
        <v>607</v>
      </c>
      <c r="B91" s="417" t="s">
        <v>217</v>
      </c>
      <c r="C91" s="417" t="s">
        <v>213</v>
      </c>
      <c r="D91" s="581" t="s">
        <v>973</v>
      </c>
      <c r="E91" s="546">
        <f>F91+I91</f>
        <v>18367400</v>
      </c>
      <c r="F91" s="546">
        <v>18367400</v>
      </c>
      <c r="G91" s="546">
        <v>10233300</v>
      </c>
      <c r="H91" s="546">
        <v>1646200</v>
      </c>
      <c r="I91" s="546"/>
      <c r="J91" s="546">
        <f>+K91+N91</f>
        <v>501700</v>
      </c>
      <c r="K91" s="547">
        <v>333700</v>
      </c>
      <c r="L91" s="547">
        <v>191600</v>
      </c>
      <c r="M91" s="547">
        <v>20500</v>
      </c>
      <c r="N91" s="546">
        <f>149000+19000</f>
        <v>168000</v>
      </c>
      <c r="O91" s="547">
        <v>19000</v>
      </c>
      <c r="P91" s="547">
        <v>19000</v>
      </c>
      <c r="Q91" s="546">
        <f>+J91+E91</f>
        <v>18869100</v>
      </c>
      <c r="R91" s="419">
        <f t="shared" si="36"/>
        <v>18869100</v>
      </c>
      <c r="S91" s="420">
        <f t="shared" si="37"/>
        <v>0</v>
      </c>
      <c r="T91" s="421">
        <f t="shared" si="32"/>
        <v>0</v>
      </c>
      <c r="U91" s="421"/>
      <c r="V91" s="421">
        <f t="shared" si="33"/>
        <v>-149000</v>
      </c>
    </row>
    <row r="92" spans="1:22" s="587" customFormat="1" ht="47.25">
      <c r="A92" s="417" t="s">
        <v>608</v>
      </c>
      <c r="B92" s="417" t="s">
        <v>218</v>
      </c>
      <c r="C92" s="417" t="s">
        <v>213</v>
      </c>
      <c r="D92" s="581" t="s">
        <v>610</v>
      </c>
      <c r="E92" s="546">
        <f>F92+I92</f>
        <v>3874500</v>
      </c>
      <c r="F92" s="546">
        <v>3874500</v>
      </c>
      <c r="G92" s="546">
        <v>1653800</v>
      </c>
      <c r="H92" s="546">
        <v>954500</v>
      </c>
      <c r="I92" s="546"/>
      <c r="J92" s="546">
        <f>+K92+N92</f>
        <v>151600</v>
      </c>
      <c r="K92" s="547">
        <v>70500</v>
      </c>
      <c r="L92" s="547"/>
      <c r="M92" s="547"/>
      <c r="N92" s="546">
        <v>81100</v>
      </c>
      <c r="O92" s="547">
        <v>81100</v>
      </c>
      <c r="P92" s="547">
        <v>81100</v>
      </c>
      <c r="Q92" s="546">
        <f>+J92+E92</f>
        <v>4026100</v>
      </c>
      <c r="R92" s="419">
        <f t="shared" si="36"/>
        <v>4026100</v>
      </c>
      <c r="S92" s="420">
        <f t="shared" si="37"/>
        <v>0</v>
      </c>
      <c r="T92" s="421">
        <f t="shared" si="32"/>
        <v>0</v>
      </c>
      <c r="U92" s="421"/>
      <c r="V92" s="421">
        <f t="shared" si="33"/>
        <v>0</v>
      </c>
    </row>
    <row r="93" spans="1:22" s="586" customFormat="1" ht="31.5">
      <c r="A93" s="577" t="s">
        <v>1739</v>
      </c>
      <c r="B93" s="577" t="s">
        <v>452</v>
      </c>
      <c r="C93" s="577"/>
      <c r="D93" s="578" t="s">
        <v>113</v>
      </c>
      <c r="E93" s="579">
        <f>SUBTOTAL(9,E94)</f>
        <v>1044600</v>
      </c>
      <c r="F93" s="579">
        <f t="shared" ref="F93:Q93" si="40">SUBTOTAL(9,F94)</f>
        <v>1044600</v>
      </c>
      <c r="G93" s="579">
        <f t="shared" si="40"/>
        <v>504000</v>
      </c>
      <c r="H93" s="579">
        <f t="shared" si="40"/>
        <v>98800</v>
      </c>
      <c r="I93" s="579">
        <f t="shared" si="40"/>
        <v>0</v>
      </c>
      <c r="J93" s="579">
        <f t="shared" si="40"/>
        <v>12000</v>
      </c>
      <c r="K93" s="579">
        <f t="shared" si="40"/>
        <v>0</v>
      </c>
      <c r="L93" s="579">
        <f t="shared" si="40"/>
        <v>0</v>
      </c>
      <c r="M93" s="579">
        <f t="shared" si="40"/>
        <v>0</v>
      </c>
      <c r="N93" s="579">
        <f t="shared" si="40"/>
        <v>12000</v>
      </c>
      <c r="O93" s="579">
        <f t="shared" si="40"/>
        <v>12000</v>
      </c>
      <c r="P93" s="579">
        <f t="shared" si="40"/>
        <v>12000</v>
      </c>
      <c r="Q93" s="579">
        <f t="shared" si="40"/>
        <v>1056600</v>
      </c>
      <c r="R93" s="419">
        <f t="shared" si="36"/>
        <v>1056600</v>
      </c>
      <c r="S93" s="420">
        <f t="shared" ref="S93:S98" si="41">R93-Q93</f>
        <v>0</v>
      </c>
      <c r="T93" s="421">
        <f t="shared" si="32"/>
        <v>0</v>
      </c>
      <c r="U93" s="421"/>
      <c r="V93" s="421">
        <f t="shared" si="33"/>
        <v>0</v>
      </c>
    </row>
    <row r="94" spans="1:22" s="587" customFormat="1" ht="63">
      <c r="A94" s="417" t="s">
        <v>1740</v>
      </c>
      <c r="B94" s="417" t="s">
        <v>426</v>
      </c>
      <c r="C94" s="603" t="s">
        <v>14</v>
      </c>
      <c r="D94" s="604" t="s">
        <v>98</v>
      </c>
      <c r="E94" s="582">
        <f>F94+I94</f>
        <v>1044600</v>
      </c>
      <c r="F94" s="546">
        <v>1044600</v>
      </c>
      <c r="G94" s="546">
        <v>504000</v>
      </c>
      <c r="H94" s="546">
        <v>98800</v>
      </c>
      <c r="I94" s="546"/>
      <c r="J94" s="546">
        <f>+K94+N94</f>
        <v>12000</v>
      </c>
      <c r="K94" s="546"/>
      <c r="L94" s="546"/>
      <c r="M94" s="546"/>
      <c r="N94" s="546">
        <v>12000</v>
      </c>
      <c r="O94" s="546">
        <v>12000</v>
      </c>
      <c r="P94" s="546">
        <v>12000</v>
      </c>
      <c r="Q94" s="546">
        <f>+J94+E94</f>
        <v>1056600</v>
      </c>
      <c r="R94" s="419">
        <f t="shared" si="36"/>
        <v>1056600</v>
      </c>
      <c r="S94" s="420">
        <f t="shared" si="41"/>
        <v>0</v>
      </c>
      <c r="T94" s="421">
        <f t="shared" si="32"/>
        <v>0</v>
      </c>
      <c r="U94" s="421"/>
      <c r="V94" s="421">
        <f t="shared" si="33"/>
        <v>0</v>
      </c>
    </row>
    <row r="95" spans="1:22" s="586" customFormat="1" ht="47.25">
      <c r="A95" s="577" t="s">
        <v>1741</v>
      </c>
      <c r="B95" s="577" t="s">
        <v>662</v>
      </c>
      <c r="C95" s="577"/>
      <c r="D95" s="578" t="s">
        <v>123</v>
      </c>
      <c r="E95" s="579">
        <f t="shared" ref="E95:Q95" si="42">SUBTOTAL(9,E96:E98)</f>
        <v>2236500</v>
      </c>
      <c r="F95" s="579">
        <f t="shared" si="42"/>
        <v>2236500</v>
      </c>
      <c r="G95" s="579">
        <f t="shared" si="42"/>
        <v>1001800</v>
      </c>
      <c r="H95" s="579">
        <f t="shared" si="42"/>
        <v>70400</v>
      </c>
      <c r="I95" s="579">
        <f t="shared" si="42"/>
        <v>0</v>
      </c>
      <c r="J95" s="579">
        <f t="shared" si="42"/>
        <v>0</v>
      </c>
      <c r="K95" s="579">
        <f t="shared" si="42"/>
        <v>0</v>
      </c>
      <c r="L95" s="579">
        <f t="shared" si="42"/>
        <v>0</v>
      </c>
      <c r="M95" s="579">
        <f t="shared" si="42"/>
        <v>0</v>
      </c>
      <c r="N95" s="579">
        <f t="shared" si="42"/>
        <v>0</v>
      </c>
      <c r="O95" s="579">
        <f t="shared" si="42"/>
        <v>0</v>
      </c>
      <c r="P95" s="579">
        <f t="shared" si="42"/>
        <v>0</v>
      </c>
      <c r="Q95" s="579">
        <f t="shared" si="42"/>
        <v>2236500</v>
      </c>
      <c r="R95" s="419">
        <f t="shared" si="36"/>
        <v>2236500</v>
      </c>
      <c r="S95" s="420">
        <f t="shared" si="41"/>
        <v>0</v>
      </c>
      <c r="T95" s="421">
        <f t="shared" si="32"/>
        <v>0</v>
      </c>
      <c r="U95" s="421"/>
      <c r="V95" s="421">
        <f t="shared" si="33"/>
        <v>0</v>
      </c>
    </row>
    <row r="96" spans="1:22" s="587" customFormat="1" ht="47.25">
      <c r="A96" s="417" t="s">
        <v>1742</v>
      </c>
      <c r="B96" s="417" t="s">
        <v>664</v>
      </c>
      <c r="C96" s="417" t="s">
        <v>14</v>
      </c>
      <c r="D96" s="581" t="s">
        <v>665</v>
      </c>
      <c r="E96" s="546">
        <f>F96+I96</f>
        <v>1645700</v>
      </c>
      <c r="F96" s="546">
        <v>1645700</v>
      </c>
      <c r="G96" s="546">
        <v>996800</v>
      </c>
      <c r="H96" s="546">
        <v>70400</v>
      </c>
      <c r="I96" s="546"/>
      <c r="J96" s="546">
        <f>+K96+N96</f>
        <v>0</v>
      </c>
      <c r="K96" s="547"/>
      <c r="L96" s="547"/>
      <c r="M96" s="547"/>
      <c r="N96" s="546"/>
      <c r="O96" s="547"/>
      <c r="P96" s="547"/>
      <c r="Q96" s="546">
        <f>+J96+E96</f>
        <v>1645700</v>
      </c>
      <c r="R96" s="419">
        <f t="shared" si="36"/>
        <v>1645700</v>
      </c>
      <c r="S96" s="420">
        <f t="shared" si="41"/>
        <v>0</v>
      </c>
      <c r="T96" s="421">
        <f t="shared" si="32"/>
        <v>0</v>
      </c>
      <c r="U96" s="421"/>
      <c r="V96" s="421">
        <f t="shared" si="33"/>
        <v>0</v>
      </c>
    </row>
    <row r="97" spans="1:22" s="587" customFormat="1" ht="63">
      <c r="A97" s="417" t="s">
        <v>1743</v>
      </c>
      <c r="B97" s="417" t="s">
        <v>667</v>
      </c>
      <c r="C97" s="417" t="s">
        <v>14</v>
      </c>
      <c r="D97" s="613" t="s">
        <v>379</v>
      </c>
      <c r="E97" s="546">
        <f>F97+I97</f>
        <v>82900</v>
      </c>
      <c r="F97" s="546">
        <v>82900</v>
      </c>
      <c r="G97" s="546"/>
      <c r="H97" s="546"/>
      <c r="I97" s="546"/>
      <c r="J97" s="546">
        <f>+K97+N97</f>
        <v>0</v>
      </c>
      <c r="K97" s="547"/>
      <c r="L97" s="547"/>
      <c r="M97" s="547"/>
      <c r="N97" s="546"/>
      <c r="O97" s="547"/>
      <c r="P97" s="547"/>
      <c r="Q97" s="546">
        <f>+J97+E97</f>
        <v>82900</v>
      </c>
      <c r="R97" s="419">
        <f t="shared" si="36"/>
        <v>82900</v>
      </c>
      <c r="S97" s="420">
        <f t="shared" si="41"/>
        <v>0</v>
      </c>
      <c r="T97" s="421">
        <f t="shared" si="32"/>
        <v>0</v>
      </c>
      <c r="U97" s="421"/>
      <c r="V97" s="421">
        <f t="shared" si="33"/>
        <v>0</v>
      </c>
    </row>
    <row r="98" spans="1:22" s="587" customFormat="1" ht="31.5">
      <c r="A98" s="417" t="s">
        <v>1744</v>
      </c>
      <c r="B98" s="417" t="s">
        <v>669</v>
      </c>
      <c r="C98" s="417" t="s">
        <v>14</v>
      </c>
      <c r="D98" s="581" t="s">
        <v>224</v>
      </c>
      <c r="E98" s="546">
        <f>F98+I98</f>
        <v>507900</v>
      </c>
      <c r="F98" s="546">
        <v>507900</v>
      </c>
      <c r="G98" s="546">
        <v>5000</v>
      </c>
      <c r="H98" s="546"/>
      <c r="I98" s="546"/>
      <c r="J98" s="546">
        <f>+K98+N98</f>
        <v>0</v>
      </c>
      <c r="K98" s="547"/>
      <c r="L98" s="547"/>
      <c r="M98" s="547"/>
      <c r="N98" s="546"/>
      <c r="O98" s="547"/>
      <c r="P98" s="547"/>
      <c r="Q98" s="546">
        <f>+J98+E98</f>
        <v>507900</v>
      </c>
      <c r="R98" s="419">
        <f t="shared" si="36"/>
        <v>507900</v>
      </c>
      <c r="S98" s="420">
        <f t="shared" si="41"/>
        <v>0</v>
      </c>
      <c r="T98" s="421">
        <f t="shared" si="32"/>
        <v>0</v>
      </c>
      <c r="U98" s="421"/>
      <c r="V98" s="421">
        <f t="shared" si="33"/>
        <v>0</v>
      </c>
    </row>
    <row r="99" spans="1:22" s="148" customFormat="1" ht="126" hidden="1">
      <c r="A99" s="27" t="s">
        <v>611</v>
      </c>
      <c r="B99" s="27" t="s">
        <v>441</v>
      </c>
      <c r="C99" s="27" t="s">
        <v>213</v>
      </c>
      <c r="D99" s="25" t="s">
        <v>612</v>
      </c>
      <c r="E99" s="203">
        <f>F99+I99</f>
        <v>0</v>
      </c>
      <c r="F99" s="203"/>
      <c r="G99" s="203"/>
      <c r="H99" s="203"/>
      <c r="I99" s="203"/>
      <c r="J99" s="203">
        <f>+K99+N99</f>
        <v>0</v>
      </c>
      <c r="K99" s="206"/>
      <c r="L99" s="206"/>
      <c r="M99" s="206"/>
      <c r="N99" s="203"/>
      <c r="O99" s="206"/>
      <c r="P99" s="206"/>
      <c r="Q99" s="203">
        <f>+J99+E99</f>
        <v>0</v>
      </c>
      <c r="R99" s="419">
        <f t="shared" si="36"/>
        <v>0</v>
      </c>
      <c r="S99" s="169">
        <f t="shared" si="37"/>
        <v>0</v>
      </c>
      <c r="T99" s="339">
        <f t="shared" si="32"/>
        <v>0</v>
      </c>
      <c r="U99" s="339"/>
      <c r="V99" s="339">
        <f t="shared" si="33"/>
        <v>0</v>
      </c>
    </row>
    <row r="100" spans="1:22" s="422" customFormat="1" ht="31.5">
      <c r="A100" s="577" t="s">
        <v>616</v>
      </c>
      <c r="B100" s="577" t="s">
        <v>617</v>
      </c>
      <c r="C100" s="577"/>
      <c r="D100" s="578" t="s">
        <v>618</v>
      </c>
      <c r="E100" s="579">
        <f>E101+E102</f>
        <v>1408500</v>
      </c>
      <c r="F100" s="579">
        <f t="shared" ref="F100:Q100" si="43">F101+F102</f>
        <v>1408500</v>
      </c>
      <c r="G100" s="579">
        <f t="shared" si="43"/>
        <v>0</v>
      </c>
      <c r="H100" s="579">
        <f t="shared" si="43"/>
        <v>0</v>
      </c>
      <c r="I100" s="579">
        <f t="shared" si="43"/>
        <v>0</v>
      </c>
      <c r="J100" s="579">
        <f t="shared" si="43"/>
        <v>0</v>
      </c>
      <c r="K100" s="579">
        <f t="shared" si="43"/>
        <v>0</v>
      </c>
      <c r="L100" s="579">
        <f t="shared" si="43"/>
        <v>0</v>
      </c>
      <c r="M100" s="579">
        <f t="shared" si="43"/>
        <v>0</v>
      </c>
      <c r="N100" s="579">
        <f t="shared" si="43"/>
        <v>0</v>
      </c>
      <c r="O100" s="579">
        <f t="shared" si="43"/>
        <v>0</v>
      </c>
      <c r="P100" s="579">
        <f t="shared" si="43"/>
        <v>0</v>
      </c>
      <c r="Q100" s="579">
        <f t="shared" si="43"/>
        <v>1408500</v>
      </c>
      <c r="R100" s="419">
        <f t="shared" si="36"/>
        <v>1408500</v>
      </c>
      <c r="S100" s="420">
        <f t="shared" si="37"/>
        <v>0</v>
      </c>
      <c r="T100" s="421">
        <f t="shared" si="32"/>
        <v>0</v>
      </c>
      <c r="U100" s="421"/>
      <c r="V100" s="421">
        <f t="shared" si="33"/>
        <v>0</v>
      </c>
    </row>
    <row r="101" spans="1:22" s="587" customFormat="1" ht="78.75">
      <c r="A101" s="417" t="s">
        <v>613</v>
      </c>
      <c r="B101" s="417" t="s">
        <v>614</v>
      </c>
      <c r="C101" s="417" t="s">
        <v>213</v>
      </c>
      <c r="D101" s="581" t="s">
        <v>615</v>
      </c>
      <c r="E101" s="546">
        <f>F101+I101</f>
        <v>1405500</v>
      </c>
      <c r="F101" s="546">
        <f>1525500-120000</f>
        <v>1405500</v>
      </c>
      <c r="G101" s="546"/>
      <c r="H101" s="546"/>
      <c r="I101" s="546"/>
      <c r="J101" s="546">
        <f>+K101+N101</f>
        <v>0</v>
      </c>
      <c r="K101" s="547"/>
      <c r="L101" s="547"/>
      <c r="M101" s="547"/>
      <c r="N101" s="546"/>
      <c r="O101" s="547"/>
      <c r="P101" s="547"/>
      <c r="Q101" s="546">
        <f>+J101+E101</f>
        <v>1405500</v>
      </c>
      <c r="R101" s="419">
        <f t="shared" si="36"/>
        <v>1405500</v>
      </c>
      <c r="S101" s="420">
        <f t="shared" si="37"/>
        <v>0</v>
      </c>
      <c r="T101" s="421">
        <f t="shared" si="32"/>
        <v>0</v>
      </c>
      <c r="U101" s="421"/>
      <c r="V101" s="421">
        <f t="shared" si="33"/>
        <v>0</v>
      </c>
    </row>
    <row r="102" spans="1:22" s="587" customFormat="1" ht="31.5">
      <c r="A102" s="417" t="s">
        <v>619</v>
      </c>
      <c r="B102" s="417" t="s">
        <v>620</v>
      </c>
      <c r="C102" s="417" t="s">
        <v>213</v>
      </c>
      <c r="D102" s="581" t="s">
        <v>974</v>
      </c>
      <c r="E102" s="546">
        <f>F102+I102</f>
        <v>3000</v>
      </c>
      <c r="F102" s="546">
        <v>3000</v>
      </c>
      <c r="G102" s="546"/>
      <c r="H102" s="546"/>
      <c r="I102" s="546"/>
      <c r="J102" s="546">
        <f>+K102+N102</f>
        <v>0</v>
      </c>
      <c r="K102" s="547"/>
      <c r="L102" s="547"/>
      <c r="M102" s="547"/>
      <c r="N102" s="546"/>
      <c r="O102" s="547"/>
      <c r="P102" s="547"/>
      <c r="Q102" s="546">
        <f>+J102+E102</f>
        <v>3000</v>
      </c>
      <c r="R102" s="419">
        <f t="shared" si="36"/>
        <v>3000</v>
      </c>
      <c r="S102" s="420">
        <f t="shared" si="37"/>
        <v>0</v>
      </c>
      <c r="T102" s="421">
        <f t="shared" si="32"/>
        <v>0</v>
      </c>
      <c r="U102" s="421"/>
      <c r="V102" s="421">
        <f t="shared" si="33"/>
        <v>0</v>
      </c>
    </row>
    <row r="103" spans="1:22" s="422" customFormat="1" ht="31.5">
      <c r="A103" s="577" t="s">
        <v>1128</v>
      </c>
      <c r="B103" s="577" t="s">
        <v>723</v>
      </c>
      <c r="C103" s="577"/>
      <c r="D103" s="578" t="s">
        <v>196</v>
      </c>
      <c r="E103" s="579">
        <f>E104</f>
        <v>500000</v>
      </c>
      <c r="F103" s="579">
        <f t="shared" ref="F103:Q103" si="44">F104</f>
        <v>500000</v>
      </c>
      <c r="G103" s="579">
        <f t="shared" si="44"/>
        <v>0</v>
      </c>
      <c r="H103" s="579">
        <f t="shared" si="44"/>
        <v>0</v>
      </c>
      <c r="I103" s="579">
        <f t="shared" si="44"/>
        <v>0</v>
      </c>
      <c r="J103" s="579">
        <f t="shared" si="44"/>
        <v>0</v>
      </c>
      <c r="K103" s="579">
        <f t="shared" si="44"/>
        <v>0</v>
      </c>
      <c r="L103" s="579">
        <f t="shared" si="44"/>
        <v>0</v>
      </c>
      <c r="M103" s="579">
        <f t="shared" si="44"/>
        <v>0</v>
      </c>
      <c r="N103" s="579">
        <f t="shared" si="44"/>
        <v>0</v>
      </c>
      <c r="O103" s="579">
        <f t="shared" si="44"/>
        <v>0</v>
      </c>
      <c r="P103" s="579">
        <f t="shared" si="44"/>
        <v>0</v>
      </c>
      <c r="Q103" s="579">
        <f t="shared" si="44"/>
        <v>500000</v>
      </c>
      <c r="R103" s="419">
        <f t="shared" si="36"/>
        <v>500000</v>
      </c>
      <c r="S103" s="420"/>
      <c r="T103" s="421">
        <f t="shared" si="32"/>
        <v>0</v>
      </c>
      <c r="U103" s="421"/>
      <c r="V103" s="421">
        <f t="shared" si="33"/>
        <v>0</v>
      </c>
    </row>
    <row r="104" spans="1:22" s="587" customFormat="1" ht="78.75">
      <c r="A104" s="417" t="s">
        <v>1130</v>
      </c>
      <c r="B104" s="417" t="s">
        <v>725</v>
      </c>
      <c r="C104" s="417" t="s">
        <v>211</v>
      </c>
      <c r="D104" s="581" t="s">
        <v>1624</v>
      </c>
      <c r="E104" s="546">
        <f>F104+I104</f>
        <v>500000</v>
      </c>
      <c r="F104" s="546">
        <v>500000</v>
      </c>
      <c r="G104" s="546"/>
      <c r="H104" s="546"/>
      <c r="I104" s="546"/>
      <c r="J104" s="546">
        <f>K104+N104</f>
        <v>0</v>
      </c>
      <c r="K104" s="547"/>
      <c r="L104" s="547"/>
      <c r="M104" s="547"/>
      <c r="N104" s="546"/>
      <c r="O104" s="547"/>
      <c r="P104" s="547"/>
      <c r="Q104" s="549">
        <f>+J104+E104</f>
        <v>500000</v>
      </c>
      <c r="R104" s="419">
        <f t="shared" si="36"/>
        <v>500000</v>
      </c>
      <c r="S104" s="420"/>
      <c r="T104" s="421">
        <f t="shared" si="32"/>
        <v>0</v>
      </c>
      <c r="U104" s="421"/>
      <c r="V104" s="421">
        <f t="shared" si="33"/>
        <v>0</v>
      </c>
    </row>
    <row r="105" spans="1:22" ht="47.25">
      <c r="A105" s="423" t="s">
        <v>621</v>
      </c>
      <c r="B105" s="423" t="s">
        <v>195</v>
      </c>
      <c r="C105" s="423" t="s">
        <v>8</v>
      </c>
      <c r="D105" s="597" t="s">
        <v>220</v>
      </c>
      <c r="E105" s="549">
        <f>F105+I105</f>
        <v>12798800</v>
      </c>
      <c r="F105" s="549">
        <v>12798800</v>
      </c>
      <c r="G105" s="549">
        <v>8820000</v>
      </c>
      <c r="H105" s="549">
        <v>615700</v>
      </c>
      <c r="I105" s="549"/>
      <c r="J105" s="549">
        <f>+K105+N105</f>
        <v>0</v>
      </c>
      <c r="K105" s="550"/>
      <c r="L105" s="550"/>
      <c r="M105" s="550"/>
      <c r="N105" s="549"/>
      <c r="O105" s="550"/>
      <c r="P105" s="550"/>
      <c r="Q105" s="549">
        <f>+J105+E105</f>
        <v>12798800</v>
      </c>
      <c r="R105" s="419">
        <f t="shared" si="36"/>
        <v>12798800</v>
      </c>
      <c r="S105" s="420">
        <f t="shared" si="37"/>
        <v>0</v>
      </c>
      <c r="T105" s="421">
        <f t="shared" si="32"/>
        <v>0</v>
      </c>
      <c r="U105" s="421"/>
      <c r="V105" s="421">
        <f t="shared" si="33"/>
        <v>0</v>
      </c>
    </row>
    <row r="106" spans="1:22" s="586" customFormat="1" ht="63">
      <c r="A106" s="577" t="s">
        <v>609</v>
      </c>
      <c r="B106" s="577" t="s">
        <v>219</v>
      </c>
      <c r="C106" s="577"/>
      <c r="D106" s="578" t="s">
        <v>626</v>
      </c>
      <c r="E106" s="579">
        <f>E107</f>
        <v>0</v>
      </c>
      <c r="F106" s="579">
        <f>F107</f>
        <v>0</v>
      </c>
      <c r="G106" s="579">
        <f>G107</f>
        <v>0</v>
      </c>
      <c r="H106" s="579">
        <f>H107</f>
        <v>0</v>
      </c>
      <c r="I106" s="579">
        <f>I107</f>
        <v>0</v>
      </c>
      <c r="J106" s="579">
        <f>J107+J108</f>
        <v>5313739.3499999996</v>
      </c>
      <c r="K106" s="579">
        <f t="shared" ref="K106:Q106" si="45">K107+K108</f>
        <v>0</v>
      </c>
      <c r="L106" s="579">
        <f t="shared" si="45"/>
        <v>0</v>
      </c>
      <c r="M106" s="579">
        <f t="shared" si="45"/>
        <v>0</v>
      </c>
      <c r="N106" s="579">
        <f>N107+N108</f>
        <v>5313739.3499999996</v>
      </c>
      <c r="O106" s="579">
        <f t="shared" si="45"/>
        <v>5313739.3499999996</v>
      </c>
      <c r="P106" s="579">
        <f t="shared" si="45"/>
        <v>5313739.3499999996</v>
      </c>
      <c r="Q106" s="579">
        <f t="shared" si="45"/>
        <v>5313739.3499999996</v>
      </c>
      <c r="R106" s="419">
        <f t="shared" si="36"/>
        <v>5313739.3499999996</v>
      </c>
      <c r="S106" s="420">
        <f t="shared" si="37"/>
        <v>0</v>
      </c>
      <c r="T106" s="421">
        <f t="shared" si="32"/>
        <v>0</v>
      </c>
      <c r="U106" s="421"/>
      <c r="V106" s="421">
        <f t="shared" si="33"/>
        <v>0</v>
      </c>
    </row>
    <row r="107" spans="1:22" s="616" customFormat="1" ht="315.75" customHeight="1">
      <c r="A107" s="417" t="s">
        <v>627</v>
      </c>
      <c r="B107" s="417" t="s">
        <v>628</v>
      </c>
      <c r="C107" s="417" t="s">
        <v>88</v>
      </c>
      <c r="D107" s="581" t="s">
        <v>629</v>
      </c>
      <c r="E107" s="546"/>
      <c r="F107" s="546"/>
      <c r="G107" s="546"/>
      <c r="H107" s="546"/>
      <c r="I107" s="546"/>
      <c r="J107" s="546">
        <f>+K107+N107</f>
        <v>5313739.3499999996</v>
      </c>
      <c r="K107" s="614"/>
      <c r="L107" s="615"/>
      <c r="M107" s="615"/>
      <c r="N107" s="546">
        <f>1721542.73+854511.62+2737685</f>
        <v>5313739.3499999996</v>
      </c>
      <c r="O107" s="546">
        <f>1721542.73+854511.62+2737685</f>
        <v>5313739.3499999996</v>
      </c>
      <c r="P107" s="546">
        <f>1721542.73+854511.62+2737685</f>
        <v>5313739.3499999996</v>
      </c>
      <c r="Q107" s="546">
        <f>J107+E107</f>
        <v>5313739.3499999996</v>
      </c>
      <c r="R107" s="419">
        <f t="shared" si="36"/>
        <v>5313739.3499999996</v>
      </c>
      <c r="S107" s="420">
        <f t="shared" si="37"/>
        <v>0</v>
      </c>
      <c r="T107" s="421">
        <f t="shared" si="32"/>
        <v>0</v>
      </c>
      <c r="U107" s="421"/>
      <c r="V107" s="421">
        <f t="shared" si="33"/>
        <v>0</v>
      </c>
    </row>
    <row r="108" spans="1:22" s="186" customFormat="1" ht="346.5" hidden="1">
      <c r="A108" s="179" t="s">
        <v>1844</v>
      </c>
      <c r="B108" s="179" t="s">
        <v>1845</v>
      </c>
      <c r="C108" s="179" t="s">
        <v>88</v>
      </c>
      <c r="D108" s="258" t="s">
        <v>1846</v>
      </c>
      <c r="E108" s="32"/>
      <c r="F108" s="32"/>
      <c r="G108" s="32"/>
      <c r="H108" s="32"/>
      <c r="I108" s="32"/>
      <c r="J108" s="350">
        <f>K108+N108</f>
        <v>0</v>
      </c>
      <c r="K108" s="351"/>
      <c r="L108" s="352"/>
      <c r="M108" s="352"/>
      <c r="N108" s="350"/>
      <c r="O108" s="350"/>
      <c r="P108" s="350"/>
      <c r="Q108" s="350">
        <f>J108</f>
        <v>0</v>
      </c>
      <c r="R108" s="419">
        <f t="shared" si="36"/>
        <v>0</v>
      </c>
      <c r="S108" s="169"/>
      <c r="T108" s="339">
        <f t="shared" si="32"/>
        <v>0</v>
      </c>
      <c r="U108" s="339"/>
      <c r="V108" s="339">
        <f t="shared" si="33"/>
        <v>0</v>
      </c>
    </row>
    <row r="109" spans="1:22" ht="15.75">
      <c r="A109" s="577" t="s">
        <v>975</v>
      </c>
      <c r="B109" s="577">
        <v>3240</v>
      </c>
      <c r="C109" s="577"/>
      <c r="D109" s="578" t="s">
        <v>497</v>
      </c>
      <c r="E109" s="579">
        <f>SUM(E110:E111)</f>
        <v>10015400</v>
      </c>
      <c r="F109" s="579">
        <f>SUM(F110:F111)</f>
        <v>10015400</v>
      </c>
      <c r="G109" s="579">
        <f t="shared" ref="G109:Q109" si="46">SUM(G110:G111)</f>
        <v>628800</v>
      </c>
      <c r="H109" s="579">
        <f t="shared" si="46"/>
        <v>70370</v>
      </c>
      <c r="I109" s="579">
        <f t="shared" si="46"/>
        <v>0</v>
      </c>
      <c r="J109" s="579">
        <f t="shared" si="46"/>
        <v>13000</v>
      </c>
      <c r="K109" s="579">
        <f t="shared" si="46"/>
        <v>0</v>
      </c>
      <c r="L109" s="579">
        <f t="shared" si="46"/>
        <v>0</v>
      </c>
      <c r="M109" s="579">
        <f t="shared" si="46"/>
        <v>0</v>
      </c>
      <c r="N109" s="579">
        <f t="shared" si="46"/>
        <v>13000</v>
      </c>
      <c r="O109" s="579">
        <f t="shared" si="46"/>
        <v>13000</v>
      </c>
      <c r="P109" s="579">
        <f t="shared" si="46"/>
        <v>13000</v>
      </c>
      <c r="Q109" s="579">
        <f t="shared" si="46"/>
        <v>10028400</v>
      </c>
      <c r="R109" s="419">
        <f t="shared" si="36"/>
        <v>10028400</v>
      </c>
      <c r="S109" s="420">
        <f t="shared" si="37"/>
        <v>0</v>
      </c>
      <c r="T109" s="421">
        <f t="shared" si="32"/>
        <v>0</v>
      </c>
      <c r="U109" s="421"/>
      <c r="V109" s="421">
        <f t="shared" si="33"/>
        <v>0</v>
      </c>
    </row>
    <row r="110" spans="1:22" ht="63">
      <c r="A110" s="417" t="s">
        <v>623</v>
      </c>
      <c r="B110" s="417" t="s">
        <v>624</v>
      </c>
      <c r="C110" s="417">
        <v>1090</v>
      </c>
      <c r="D110" s="581" t="s">
        <v>625</v>
      </c>
      <c r="E110" s="549">
        <f>F110+I110</f>
        <v>1131600</v>
      </c>
      <c r="F110" s="549">
        <v>1131600</v>
      </c>
      <c r="G110" s="549">
        <v>628800</v>
      </c>
      <c r="H110" s="549">
        <v>70370</v>
      </c>
      <c r="I110" s="549"/>
      <c r="J110" s="549">
        <f>+K110+N110</f>
        <v>13000</v>
      </c>
      <c r="K110" s="550"/>
      <c r="L110" s="550"/>
      <c r="M110" s="550"/>
      <c r="N110" s="549">
        <v>13000</v>
      </c>
      <c r="O110" s="550">
        <v>13000</v>
      </c>
      <c r="P110" s="550">
        <v>13000</v>
      </c>
      <c r="Q110" s="549">
        <f>+J110+E110</f>
        <v>1144600</v>
      </c>
      <c r="R110" s="419">
        <f t="shared" si="36"/>
        <v>1144600</v>
      </c>
      <c r="S110" s="420">
        <f t="shared" si="37"/>
        <v>0</v>
      </c>
      <c r="T110" s="421">
        <f t="shared" si="32"/>
        <v>0</v>
      </c>
      <c r="U110" s="421"/>
      <c r="V110" s="421">
        <f t="shared" si="33"/>
        <v>0</v>
      </c>
    </row>
    <row r="111" spans="1:22" ht="47.25">
      <c r="A111" s="417" t="s">
        <v>622</v>
      </c>
      <c r="B111" s="417">
        <v>3242</v>
      </c>
      <c r="C111" s="417">
        <v>1090</v>
      </c>
      <c r="D111" s="581" t="s">
        <v>498</v>
      </c>
      <c r="E111" s="549">
        <f>F111+I111</f>
        <v>8883800</v>
      </c>
      <c r="F111" s="549">
        <v>8883800</v>
      </c>
      <c r="G111" s="549"/>
      <c r="H111" s="549"/>
      <c r="I111" s="549"/>
      <c r="J111" s="549">
        <f>+K111+N111</f>
        <v>0</v>
      </c>
      <c r="K111" s="550"/>
      <c r="L111" s="550"/>
      <c r="M111" s="550"/>
      <c r="N111" s="549"/>
      <c r="O111" s="550"/>
      <c r="P111" s="550"/>
      <c r="Q111" s="549">
        <f>+J111+E111</f>
        <v>8883800</v>
      </c>
      <c r="R111" s="419">
        <f t="shared" si="36"/>
        <v>8883800</v>
      </c>
      <c r="S111" s="420">
        <f t="shared" si="37"/>
        <v>0</v>
      </c>
      <c r="T111" s="421">
        <f t="shared" si="32"/>
        <v>0</v>
      </c>
      <c r="U111" s="421"/>
      <c r="V111" s="421">
        <f t="shared" si="33"/>
        <v>0</v>
      </c>
    </row>
    <row r="112" spans="1:22" s="422" customFormat="1" ht="126">
      <c r="A112" s="577" t="s">
        <v>2289</v>
      </c>
      <c r="B112" s="577" t="s">
        <v>781</v>
      </c>
      <c r="C112" s="577"/>
      <c r="D112" s="578" t="s">
        <v>2290</v>
      </c>
      <c r="E112" s="579">
        <f t="shared" ref="E112:P112" si="47">E113+E115+E114</f>
        <v>69294920.650000006</v>
      </c>
      <c r="F112" s="579">
        <f t="shared" si="47"/>
        <v>0</v>
      </c>
      <c r="G112" s="579">
        <f t="shared" si="47"/>
        <v>0</v>
      </c>
      <c r="H112" s="579">
        <f t="shared" si="47"/>
        <v>0</v>
      </c>
      <c r="I112" s="579">
        <f t="shared" si="47"/>
        <v>69294920.650000006</v>
      </c>
      <c r="J112" s="579">
        <f t="shared" si="47"/>
        <v>0</v>
      </c>
      <c r="K112" s="579">
        <f t="shared" si="47"/>
        <v>0</v>
      </c>
      <c r="L112" s="579">
        <f t="shared" si="47"/>
        <v>0</v>
      </c>
      <c r="M112" s="579">
        <f t="shared" si="47"/>
        <v>0</v>
      </c>
      <c r="N112" s="579">
        <f t="shared" si="47"/>
        <v>0</v>
      </c>
      <c r="O112" s="579">
        <f t="shared" si="47"/>
        <v>0</v>
      </c>
      <c r="P112" s="579">
        <f t="shared" si="47"/>
        <v>0</v>
      </c>
      <c r="Q112" s="579">
        <f>Q113+Q115+Q114</f>
        <v>69294920.650000006</v>
      </c>
      <c r="R112" s="419">
        <f t="shared" si="36"/>
        <v>69294920.650000006</v>
      </c>
      <c r="S112" s="420"/>
      <c r="T112" s="421">
        <f t="shared" si="32"/>
        <v>0</v>
      </c>
      <c r="U112" s="421"/>
      <c r="V112" s="421">
        <f t="shared" si="33"/>
        <v>0</v>
      </c>
    </row>
    <row r="113" spans="1:63" s="621" customFormat="1" ht="409.15" customHeight="1">
      <c r="A113" s="417" t="s">
        <v>1745</v>
      </c>
      <c r="B113" s="417" t="s">
        <v>783</v>
      </c>
      <c r="C113" s="417" t="s">
        <v>10</v>
      </c>
      <c r="D113" s="618" t="s">
        <v>2295</v>
      </c>
      <c r="E113" s="546">
        <f>F113+I113</f>
        <v>44899923.649999999</v>
      </c>
      <c r="F113" s="546"/>
      <c r="G113" s="546"/>
      <c r="H113" s="546"/>
      <c r="I113" s="546">
        <f>23963060.27+4301217+1798343-854511.62+15691815</f>
        <v>44899923.649999999</v>
      </c>
      <c r="J113" s="546">
        <f>+K113+N113</f>
        <v>0</v>
      </c>
      <c r="K113" s="546"/>
      <c r="L113" s="546"/>
      <c r="M113" s="546"/>
      <c r="N113" s="546"/>
      <c r="O113" s="546"/>
      <c r="P113" s="546"/>
      <c r="Q113" s="549">
        <f>+J113+E113</f>
        <v>44899923.649999999</v>
      </c>
      <c r="R113" s="419">
        <f t="shared" si="36"/>
        <v>44899923.649999999</v>
      </c>
      <c r="S113" s="420">
        <f t="shared" si="37"/>
        <v>0</v>
      </c>
      <c r="T113" s="421">
        <f t="shared" si="32"/>
        <v>0</v>
      </c>
      <c r="U113" s="421"/>
      <c r="V113" s="421">
        <f t="shared" si="33"/>
        <v>0</v>
      </c>
    </row>
    <row r="114" spans="1:63" s="621" customFormat="1" ht="409.15" customHeight="1">
      <c r="A114" s="617" t="s">
        <v>2291</v>
      </c>
      <c r="B114" s="617" t="s">
        <v>2292</v>
      </c>
      <c r="C114" s="617" t="s">
        <v>10</v>
      </c>
      <c r="D114" s="618" t="s">
        <v>2293</v>
      </c>
      <c r="E114" s="546">
        <f>F114+I114</f>
        <v>577044</v>
      </c>
      <c r="F114" s="619"/>
      <c r="G114" s="619"/>
      <c r="H114" s="619"/>
      <c r="I114" s="619">
        <v>577044</v>
      </c>
      <c r="J114" s="546"/>
      <c r="K114" s="620"/>
      <c r="L114" s="619"/>
      <c r="M114" s="619"/>
      <c r="N114" s="619"/>
      <c r="O114" s="619"/>
      <c r="P114" s="619"/>
      <c r="Q114" s="549">
        <f>+J114+E114</f>
        <v>577044</v>
      </c>
      <c r="R114" s="419">
        <f t="shared" si="36"/>
        <v>577044</v>
      </c>
      <c r="S114" s="420"/>
      <c r="T114" s="421">
        <f t="shared" si="32"/>
        <v>0</v>
      </c>
      <c r="U114" s="421"/>
      <c r="V114" s="421">
        <f t="shared" si="33"/>
        <v>0</v>
      </c>
    </row>
    <row r="115" spans="1:63" s="554" customFormat="1" ht="409.6" customHeight="1">
      <c r="A115" s="423" t="s">
        <v>1847</v>
      </c>
      <c r="B115" s="423" t="s">
        <v>1848</v>
      </c>
      <c r="C115" s="423" t="s">
        <v>10</v>
      </c>
      <c r="D115" s="622" t="s">
        <v>2294</v>
      </c>
      <c r="E115" s="546">
        <f>F115+I115</f>
        <v>23817953</v>
      </c>
      <c r="F115" s="549"/>
      <c r="G115" s="549"/>
      <c r="H115" s="549"/>
      <c r="I115" s="549">
        <f>22712639+736814-589544+589544-147270+147270+368500</f>
        <v>23817953</v>
      </c>
      <c r="J115" s="549">
        <f>+K115+N115</f>
        <v>0</v>
      </c>
      <c r="K115" s="550"/>
      <c r="L115" s="550"/>
      <c r="M115" s="550"/>
      <c r="N115" s="549"/>
      <c r="O115" s="550"/>
      <c r="P115" s="550"/>
      <c r="Q115" s="549">
        <f>+J115+E115</f>
        <v>23817953</v>
      </c>
      <c r="R115" s="419">
        <f t="shared" si="36"/>
        <v>23817953</v>
      </c>
      <c r="S115" s="420">
        <f t="shared" si="37"/>
        <v>0</v>
      </c>
      <c r="T115" s="421">
        <f t="shared" si="32"/>
        <v>0</v>
      </c>
      <c r="U115" s="421"/>
      <c r="V115" s="421">
        <f t="shared" si="33"/>
        <v>0</v>
      </c>
    </row>
    <row r="116" spans="1:63" s="554" customFormat="1" ht="31.5">
      <c r="A116" s="423" t="s">
        <v>902</v>
      </c>
      <c r="B116" s="423" t="s">
        <v>515</v>
      </c>
      <c r="C116" s="423" t="s">
        <v>10</v>
      </c>
      <c r="D116" s="597" t="s">
        <v>596</v>
      </c>
      <c r="E116" s="549">
        <f>F116+I116</f>
        <v>13202700</v>
      </c>
      <c r="F116" s="549">
        <v>13202700</v>
      </c>
      <c r="G116" s="549"/>
      <c r="H116" s="549"/>
      <c r="I116" s="549"/>
      <c r="J116" s="549">
        <f>+K116+N116</f>
        <v>0</v>
      </c>
      <c r="K116" s="594"/>
      <c r="L116" s="550"/>
      <c r="M116" s="550"/>
      <c r="N116" s="549"/>
      <c r="O116" s="550"/>
      <c r="P116" s="550"/>
      <c r="Q116" s="549">
        <f>+J116+E116</f>
        <v>13202700</v>
      </c>
      <c r="R116" s="419">
        <f t="shared" si="36"/>
        <v>13202700</v>
      </c>
      <c r="S116" s="420">
        <f t="shared" si="37"/>
        <v>0</v>
      </c>
      <c r="T116" s="421">
        <f t="shared" si="32"/>
        <v>0</v>
      </c>
      <c r="U116" s="421"/>
      <c r="V116" s="421">
        <f t="shared" si="33"/>
        <v>0</v>
      </c>
    </row>
    <row r="117" spans="1:63" s="554" customFormat="1" ht="31.5">
      <c r="A117" s="598" t="s">
        <v>632</v>
      </c>
      <c r="B117" s="598"/>
      <c r="C117" s="598"/>
      <c r="D117" s="589" t="s">
        <v>381</v>
      </c>
      <c r="E117" s="590">
        <f>E120+E121+E123+E125+E124</f>
        <v>24912500</v>
      </c>
      <c r="F117" s="590">
        <f t="shared" ref="F117:Q117" si="48">F120+F121+F123+F125+F124</f>
        <v>6657000</v>
      </c>
      <c r="G117" s="590">
        <f t="shared" si="48"/>
        <v>3508900</v>
      </c>
      <c r="H117" s="590">
        <f t="shared" si="48"/>
        <v>595400</v>
      </c>
      <c r="I117" s="590">
        <f t="shared" si="48"/>
        <v>18255500</v>
      </c>
      <c r="J117" s="590">
        <f t="shared" si="48"/>
        <v>1479567</v>
      </c>
      <c r="K117" s="590">
        <f t="shared" si="48"/>
        <v>0</v>
      </c>
      <c r="L117" s="590">
        <f t="shared" si="48"/>
        <v>0</v>
      </c>
      <c r="M117" s="590">
        <f t="shared" si="48"/>
        <v>0</v>
      </c>
      <c r="N117" s="590">
        <f t="shared" si="48"/>
        <v>1479567</v>
      </c>
      <c r="O117" s="590">
        <f t="shared" si="48"/>
        <v>1479567</v>
      </c>
      <c r="P117" s="590">
        <f t="shared" si="48"/>
        <v>1479567</v>
      </c>
      <c r="Q117" s="590">
        <f t="shared" si="48"/>
        <v>26392067</v>
      </c>
      <c r="R117" s="419">
        <f t="shared" si="36"/>
        <v>26392067</v>
      </c>
      <c r="S117" s="420">
        <f t="shared" si="37"/>
        <v>0</v>
      </c>
      <c r="T117" s="421">
        <f t="shared" si="32"/>
        <v>0</v>
      </c>
      <c r="U117" s="421"/>
      <c r="V117" s="421">
        <f t="shared" si="33"/>
        <v>0</v>
      </c>
    </row>
    <row r="118" spans="1:63" s="554" customFormat="1" ht="31.5">
      <c r="A118" s="598" t="s">
        <v>633</v>
      </c>
      <c r="B118" s="598"/>
      <c r="C118" s="598"/>
      <c r="D118" s="589" t="s">
        <v>381</v>
      </c>
      <c r="E118" s="590">
        <f>E119+E125+E122+E124</f>
        <v>24912500</v>
      </c>
      <c r="F118" s="590">
        <f t="shared" ref="F118:Q118" si="49">F119+F125+F122+F124</f>
        <v>6657000</v>
      </c>
      <c r="G118" s="590">
        <f t="shared" si="49"/>
        <v>3508900</v>
      </c>
      <c r="H118" s="590">
        <f t="shared" si="49"/>
        <v>595400</v>
      </c>
      <c r="I118" s="590">
        <f t="shared" si="49"/>
        <v>18255500</v>
      </c>
      <c r="J118" s="590">
        <f t="shared" si="49"/>
        <v>1479567</v>
      </c>
      <c r="K118" s="590">
        <f t="shared" si="49"/>
        <v>0</v>
      </c>
      <c r="L118" s="590">
        <f t="shared" si="49"/>
        <v>0</v>
      </c>
      <c r="M118" s="590">
        <f t="shared" si="49"/>
        <v>0</v>
      </c>
      <c r="N118" s="590">
        <f t="shared" si="49"/>
        <v>1479567</v>
      </c>
      <c r="O118" s="590">
        <f t="shared" si="49"/>
        <v>1479567</v>
      </c>
      <c r="P118" s="590">
        <f t="shared" si="49"/>
        <v>1479567</v>
      </c>
      <c r="Q118" s="590">
        <f t="shared" si="49"/>
        <v>26392067</v>
      </c>
      <c r="R118" s="419">
        <f t="shared" si="36"/>
        <v>26392067</v>
      </c>
      <c r="S118" s="420">
        <f t="shared" si="37"/>
        <v>0</v>
      </c>
      <c r="T118" s="421">
        <f t="shared" si="32"/>
        <v>0</v>
      </c>
      <c r="U118" s="421"/>
      <c r="V118" s="421">
        <f t="shared" si="33"/>
        <v>0</v>
      </c>
    </row>
    <row r="119" spans="1:63" s="554" customFormat="1" ht="31.5">
      <c r="A119" s="577" t="s">
        <v>634</v>
      </c>
      <c r="B119" s="577" t="s">
        <v>452</v>
      </c>
      <c r="C119" s="577"/>
      <c r="D119" s="578" t="s">
        <v>113</v>
      </c>
      <c r="E119" s="579">
        <f>SUBTOTAL(9,E120:E121)</f>
        <v>6507000</v>
      </c>
      <c r="F119" s="579">
        <f t="shared" ref="F119:Q119" si="50">SUBTOTAL(9,F120:F121)</f>
        <v>6507000</v>
      </c>
      <c r="G119" s="579">
        <f t="shared" si="50"/>
        <v>3508900</v>
      </c>
      <c r="H119" s="579">
        <f t="shared" si="50"/>
        <v>595400</v>
      </c>
      <c r="I119" s="579">
        <f t="shared" si="50"/>
        <v>0</v>
      </c>
      <c r="J119" s="579">
        <f t="shared" si="50"/>
        <v>0</v>
      </c>
      <c r="K119" s="579">
        <f t="shared" si="50"/>
        <v>0</v>
      </c>
      <c r="L119" s="579">
        <f t="shared" si="50"/>
        <v>0</v>
      </c>
      <c r="M119" s="579">
        <f t="shared" si="50"/>
        <v>0</v>
      </c>
      <c r="N119" s="579">
        <f t="shared" si="50"/>
        <v>0</v>
      </c>
      <c r="O119" s="579">
        <f t="shared" si="50"/>
        <v>0</v>
      </c>
      <c r="P119" s="579">
        <f t="shared" si="50"/>
        <v>0</v>
      </c>
      <c r="Q119" s="579">
        <f t="shared" si="50"/>
        <v>6507000</v>
      </c>
      <c r="R119" s="419">
        <f t="shared" si="36"/>
        <v>6507000</v>
      </c>
      <c r="S119" s="420">
        <f t="shared" si="37"/>
        <v>0</v>
      </c>
      <c r="T119" s="421">
        <f t="shared" si="32"/>
        <v>0</v>
      </c>
      <c r="U119" s="421"/>
      <c r="V119" s="421">
        <f t="shared" si="33"/>
        <v>0</v>
      </c>
    </row>
    <row r="120" spans="1:63" s="554" customFormat="1" ht="63">
      <c r="A120" s="417" t="s">
        <v>635</v>
      </c>
      <c r="B120" s="417" t="s">
        <v>426</v>
      </c>
      <c r="C120" s="603" t="s">
        <v>14</v>
      </c>
      <c r="D120" s="604" t="s">
        <v>98</v>
      </c>
      <c r="E120" s="549">
        <f>F120+I120</f>
        <v>6334300</v>
      </c>
      <c r="F120" s="549">
        <f>6434300-100000</f>
        <v>6334300</v>
      </c>
      <c r="G120" s="549">
        <v>3508900</v>
      </c>
      <c r="H120" s="549">
        <v>595400</v>
      </c>
      <c r="I120" s="549"/>
      <c r="J120" s="549">
        <f>+K120+N120</f>
        <v>0</v>
      </c>
      <c r="K120" s="550"/>
      <c r="L120" s="550"/>
      <c r="M120" s="550"/>
      <c r="N120" s="549"/>
      <c r="O120" s="550"/>
      <c r="P120" s="550"/>
      <c r="Q120" s="549">
        <f>+J120+E120</f>
        <v>6334300</v>
      </c>
      <c r="R120" s="419">
        <f t="shared" si="36"/>
        <v>6334300</v>
      </c>
      <c r="S120" s="420">
        <f t="shared" si="37"/>
        <v>0</v>
      </c>
      <c r="T120" s="421">
        <f t="shared" si="32"/>
        <v>0</v>
      </c>
      <c r="U120" s="421"/>
      <c r="V120" s="421">
        <f t="shared" si="33"/>
        <v>0</v>
      </c>
    </row>
    <row r="121" spans="1:63" s="554" customFormat="1" ht="47.25">
      <c r="A121" s="417" t="s">
        <v>636</v>
      </c>
      <c r="B121" s="417" t="s">
        <v>221</v>
      </c>
      <c r="C121" s="603" t="s">
        <v>14</v>
      </c>
      <c r="D121" s="604" t="s">
        <v>2</v>
      </c>
      <c r="E121" s="549">
        <f>F121+I121</f>
        <v>172700</v>
      </c>
      <c r="F121" s="549">
        <v>172700</v>
      </c>
      <c r="G121" s="549"/>
      <c r="H121" s="549"/>
      <c r="I121" s="549"/>
      <c r="J121" s="549">
        <f>+K121+N121</f>
        <v>0</v>
      </c>
      <c r="K121" s="550"/>
      <c r="L121" s="550"/>
      <c r="M121" s="550"/>
      <c r="N121" s="549"/>
      <c r="O121" s="550"/>
      <c r="P121" s="550"/>
      <c r="Q121" s="549">
        <f>+J121+E121</f>
        <v>172700</v>
      </c>
      <c r="R121" s="419">
        <f t="shared" si="36"/>
        <v>172700</v>
      </c>
      <c r="S121" s="420">
        <f t="shared" si="37"/>
        <v>0</v>
      </c>
      <c r="T121" s="421">
        <f t="shared" si="32"/>
        <v>0</v>
      </c>
      <c r="U121" s="421"/>
      <c r="V121" s="421">
        <f t="shared" si="33"/>
        <v>0</v>
      </c>
    </row>
    <row r="122" spans="1:63" s="554" customFormat="1" ht="31.5">
      <c r="A122" s="577" t="s">
        <v>637</v>
      </c>
      <c r="B122" s="577" t="s">
        <v>428</v>
      </c>
      <c r="C122" s="577"/>
      <c r="D122" s="578" t="s">
        <v>258</v>
      </c>
      <c r="E122" s="579">
        <f>E123</f>
        <v>150000</v>
      </c>
      <c r="F122" s="579">
        <f t="shared" ref="F122:Q122" si="51">F123</f>
        <v>150000</v>
      </c>
      <c r="G122" s="579">
        <f t="shared" si="51"/>
        <v>0</v>
      </c>
      <c r="H122" s="579">
        <f t="shared" si="51"/>
        <v>0</v>
      </c>
      <c r="I122" s="579">
        <f t="shared" si="51"/>
        <v>0</v>
      </c>
      <c r="J122" s="579">
        <f t="shared" si="51"/>
        <v>0</v>
      </c>
      <c r="K122" s="579">
        <f t="shared" si="51"/>
        <v>0</v>
      </c>
      <c r="L122" s="579">
        <f t="shared" si="51"/>
        <v>0</v>
      </c>
      <c r="M122" s="579">
        <f t="shared" si="51"/>
        <v>0</v>
      </c>
      <c r="N122" s="579">
        <f t="shared" si="51"/>
        <v>0</v>
      </c>
      <c r="O122" s="579">
        <f t="shared" si="51"/>
        <v>0</v>
      </c>
      <c r="P122" s="579">
        <f t="shared" si="51"/>
        <v>0</v>
      </c>
      <c r="Q122" s="579">
        <f t="shared" si="51"/>
        <v>150000</v>
      </c>
      <c r="R122" s="419">
        <f t="shared" si="36"/>
        <v>150000</v>
      </c>
      <c r="S122" s="420">
        <f t="shared" si="37"/>
        <v>0</v>
      </c>
      <c r="T122" s="421">
        <f t="shared" si="32"/>
        <v>0</v>
      </c>
      <c r="U122" s="421"/>
      <c r="V122" s="421">
        <f t="shared" si="33"/>
        <v>0</v>
      </c>
    </row>
    <row r="123" spans="1:63" s="554" customFormat="1" ht="63">
      <c r="A123" s="417" t="s">
        <v>638</v>
      </c>
      <c r="B123" s="417" t="s">
        <v>436</v>
      </c>
      <c r="C123" s="417" t="s">
        <v>14</v>
      </c>
      <c r="D123" s="581" t="s">
        <v>259</v>
      </c>
      <c r="E123" s="546">
        <f>F123+I123</f>
        <v>150000</v>
      </c>
      <c r="F123" s="546">
        <v>150000</v>
      </c>
      <c r="G123" s="546"/>
      <c r="H123" s="546"/>
      <c r="I123" s="546"/>
      <c r="J123" s="546">
        <f>+K123+N123</f>
        <v>0</v>
      </c>
      <c r="K123" s="547"/>
      <c r="L123" s="547"/>
      <c r="M123" s="547"/>
      <c r="N123" s="546"/>
      <c r="O123" s="547"/>
      <c r="P123" s="547"/>
      <c r="Q123" s="546">
        <f>+J123+E123</f>
        <v>150000</v>
      </c>
      <c r="R123" s="419">
        <f t="shared" si="36"/>
        <v>150000</v>
      </c>
      <c r="S123" s="420">
        <f t="shared" si="37"/>
        <v>0</v>
      </c>
      <c r="T123" s="421">
        <f t="shared" si="32"/>
        <v>0</v>
      </c>
      <c r="U123" s="421"/>
      <c r="V123" s="421">
        <f t="shared" si="33"/>
        <v>0</v>
      </c>
    </row>
    <row r="124" spans="1:63" s="554" customFormat="1" ht="173.25">
      <c r="A124" s="417" t="s">
        <v>903</v>
      </c>
      <c r="B124" s="417" t="s">
        <v>904</v>
      </c>
      <c r="C124" s="417" t="s">
        <v>10</v>
      </c>
      <c r="D124" s="581" t="s">
        <v>905</v>
      </c>
      <c r="E124" s="549">
        <f>F124+I124</f>
        <v>18255500</v>
      </c>
      <c r="F124" s="546"/>
      <c r="G124" s="546"/>
      <c r="H124" s="546"/>
      <c r="I124" s="547">
        <v>18255500</v>
      </c>
      <c r="J124" s="549">
        <f>+K124+N124</f>
        <v>0</v>
      </c>
      <c r="K124" s="547"/>
      <c r="L124" s="547"/>
      <c r="M124" s="547"/>
      <c r="N124" s="546"/>
      <c r="O124" s="547"/>
      <c r="P124" s="547"/>
      <c r="Q124" s="549">
        <f>+J124+E124</f>
        <v>18255500</v>
      </c>
      <c r="R124" s="419">
        <f t="shared" si="36"/>
        <v>18255500</v>
      </c>
      <c r="S124" s="420">
        <f t="shared" si="37"/>
        <v>0</v>
      </c>
      <c r="T124" s="421">
        <f t="shared" si="32"/>
        <v>0</v>
      </c>
      <c r="U124" s="421"/>
      <c r="V124" s="421">
        <f t="shared" si="33"/>
        <v>0</v>
      </c>
    </row>
    <row r="125" spans="1:63" s="554" customFormat="1" ht="31.5">
      <c r="A125" s="423" t="s">
        <v>639</v>
      </c>
      <c r="B125" s="423" t="s">
        <v>515</v>
      </c>
      <c r="C125" s="423" t="s">
        <v>10</v>
      </c>
      <c r="D125" s="584" t="s">
        <v>516</v>
      </c>
      <c r="E125" s="549">
        <f>F125+I125</f>
        <v>0</v>
      </c>
      <c r="F125" s="549"/>
      <c r="G125" s="549"/>
      <c r="H125" s="549"/>
      <c r="I125" s="549"/>
      <c r="J125" s="549">
        <f>+K125+N125</f>
        <v>1479567</v>
      </c>
      <c r="K125" s="550"/>
      <c r="L125" s="550"/>
      <c r="M125" s="550"/>
      <c r="N125" s="550">
        <f>1835000-260433-95000</f>
        <v>1479567</v>
      </c>
      <c r="O125" s="550">
        <f>1835000-260433-95000</f>
        <v>1479567</v>
      </c>
      <c r="P125" s="550">
        <f>1835000-260433-95000</f>
        <v>1479567</v>
      </c>
      <c r="Q125" s="549">
        <f>+J125+E125</f>
        <v>1479567</v>
      </c>
      <c r="R125" s="419">
        <f t="shared" si="36"/>
        <v>1479567</v>
      </c>
      <c r="S125" s="420">
        <f t="shared" si="37"/>
        <v>0</v>
      </c>
      <c r="T125" s="421">
        <f t="shared" si="32"/>
        <v>0</v>
      </c>
      <c r="U125" s="421"/>
      <c r="V125" s="421">
        <f t="shared" si="33"/>
        <v>0</v>
      </c>
    </row>
    <row r="126" spans="1:63" s="600" customFormat="1" ht="63">
      <c r="A126" s="598" t="s">
        <v>334</v>
      </c>
      <c r="B126" s="598"/>
      <c r="C126" s="598"/>
      <c r="D126" s="589" t="s">
        <v>740</v>
      </c>
      <c r="E126" s="590">
        <f t="shared" ref="E126:Q126" si="52">E129+E130+E131+E132+E133+E134+E136+E140+E139+E143+E137+E142+E144</f>
        <v>133947490</v>
      </c>
      <c r="F126" s="590">
        <f t="shared" si="52"/>
        <v>133947490</v>
      </c>
      <c r="G126" s="590">
        <f t="shared" si="52"/>
        <v>27950800</v>
      </c>
      <c r="H126" s="590">
        <f t="shared" si="52"/>
        <v>3341030</v>
      </c>
      <c r="I126" s="590">
        <f t="shared" si="52"/>
        <v>0</v>
      </c>
      <c r="J126" s="590">
        <f t="shared" si="52"/>
        <v>5497899</v>
      </c>
      <c r="K126" s="590">
        <f t="shared" si="52"/>
        <v>2764840</v>
      </c>
      <c r="L126" s="590">
        <f t="shared" si="52"/>
        <v>309408</v>
      </c>
      <c r="M126" s="590">
        <f t="shared" si="52"/>
        <v>8700</v>
      </c>
      <c r="N126" s="590">
        <f t="shared" si="52"/>
        <v>2733059</v>
      </c>
      <c r="O126" s="590">
        <f t="shared" si="52"/>
        <v>2681759</v>
      </c>
      <c r="P126" s="590">
        <f t="shared" si="52"/>
        <v>2681759</v>
      </c>
      <c r="Q126" s="590">
        <f t="shared" si="52"/>
        <v>139445389</v>
      </c>
      <c r="R126" s="419">
        <f t="shared" si="36"/>
        <v>139445389</v>
      </c>
      <c r="S126" s="420">
        <f t="shared" si="37"/>
        <v>0</v>
      </c>
      <c r="T126" s="421">
        <f t="shared" si="32"/>
        <v>0</v>
      </c>
      <c r="U126" s="421"/>
      <c r="V126" s="421">
        <f t="shared" si="33"/>
        <v>-51300</v>
      </c>
    </row>
    <row r="127" spans="1:63" s="600" customFormat="1" ht="63">
      <c r="A127" s="598" t="s">
        <v>335</v>
      </c>
      <c r="B127" s="598"/>
      <c r="C127" s="598"/>
      <c r="D127" s="589" t="s">
        <v>740</v>
      </c>
      <c r="E127" s="590">
        <f t="shared" ref="E127:Q127" si="53">E129+E130+E131+E132+E133+E134+E135+E140+E138+E143+E141+E144</f>
        <v>133947490</v>
      </c>
      <c r="F127" s="590">
        <f t="shared" si="53"/>
        <v>133947490</v>
      </c>
      <c r="G127" s="590">
        <f t="shared" si="53"/>
        <v>27950800</v>
      </c>
      <c r="H127" s="590">
        <f t="shared" si="53"/>
        <v>3341030</v>
      </c>
      <c r="I127" s="590">
        <f t="shared" si="53"/>
        <v>0</v>
      </c>
      <c r="J127" s="590">
        <f t="shared" si="53"/>
        <v>5497899</v>
      </c>
      <c r="K127" s="590">
        <f t="shared" si="53"/>
        <v>2764840</v>
      </c>
      <c r="L127" s="590">
        <f t="shared" si="53"/>
        <v>309408</v>
      </c>
      <c r="M127" s="590">
        <f t="shared" si="53"/>
        <v>8700</v>
      </c>
      <c r="N127" s="590">
        <f t="shared" si="53"/>
        <v>2733059</v>
      </c>
      <c r="O127" s="590">
        <f t="shared" si="53"/>
        <v>2681759</v>
      </c>
      <c r="P127" s="590">
        <f t="shared" si="53"/>
        <v>2681759</v>
      </c>
      <c r="Q127" s="590">
        <f t="shared" si="53"/>
        <v>139445389</v>
      </c>
      <c r="R127" s="419">
        <f t="shared" si="36"/>
        <v>139445389</v>
      </c>
      <c r="S127" s="420">
        <f t="shared" si="37"/>
        <v>0</v>
      </c>
      <c r="T127" s="421">
        <f t="shared" si="32"/>
        <v>0</v>
      </c>
      <c r="U127" s="421"/>
      <c r="V127" s="421">
        <f t="shared" si="33"/>
        <v>-51300</v>
      </c>
      <c r="BK127" s="600" t="b">
        <f>дод3!D1=дод3!Q25+дод3!Q26+дод3!Q31+дод3!Q48+дод3!Q49+дод3!Q50+дод3!Q52+дод3!Q78+дод3!Q79+дод3!Q80+дод3!Q81+дод3!Q115+дод3!Q116+дод3!Q125+дод3!Q124+дод3!Q265+дод3!Q274+дод3!Q275+дод3!Q276+дод3!Q277+дод3!Q278+дод3!Q280+дод3!Q281+дод3!Q282+дод3!Q283+дод3!Q284+дод3!Q285+дод3!Q286+дод3!Q288+дод3!Q287+дод3!J238+дод3!Q113+дод3!Q51</f>
        <v>0</v>
      </c>
    </row>
    <row r="128" spans="1:63" s="600" customFormat="1" ht="15.75">
      <c r="A128" s="598"/>
      <c r="B128" s="598"/>
      <c r="C128" s="598"/>
      <c r="D128" s="589"/>
      <c r="E128" s="599">
        <f>E127-E129-E130</f>
        <v>88410890</v>
      </c>
      <c r="F128" s="599">
        <f t="shared" ref="F128:Q128" si="54">F127-F129-F130</f>
        <v>88410890</v>
      </c>
      <c r="G128" s="599">
        <f t="shared" si="54"/>
        <v>27387900</v>
      </c>
      <c r="H128" s="599">
        <f t="shared" si="54"/>
        <v>3309030</v>
      </c>
      <c r="I128" s="599">
        <f t="shared" si="54"/>
        <v>0</v>
      </c>
      <c r="J128" s="599">
        <f t="shared" si="54"/>
        <v>3258559</v>
      </c>
      <c r="K128" s="599">
        <f t="shared" si="54"/>
        <v>725500</v>
      </c>
      <c r="L128" s="599">
        <f t="shared" si="54"/>
        <v>309408</v>
      </c>
      <c r="M128" s="599">
        <f t="shared" si="54"/>
        <v>8700</v>
      </c>
      <c r="N128" s="599">
        <f t="shared" si="54"/>
        <v>2533059</v>
      </c>
      <c r="O128" s="599">
        <f t="shared" si="54"/>
        <v>2481759</v>
      </c>
      <c r="P128" s="599">
        <f t="shared" si="54"/>
        <v>2481759</v>
      </c>
      <c r="Q128" s="599">
        <f t="shared" si="54"/>
        <v>91669449</v>
      </c>
      <c r="R128" s="419">
        <f t="shared" si="36"/>
        <v>91669449</v>
      </c>
      <c r="S128" s="420"/>
      <c r="T128" s="421">
        <f t="shared" si="32"/>
        <v>0</v>
      </c>
      <c r="U128" s="421"/>
      <c r="V128" s="421">
        <f t="shared" si="33"/>
        <v>-51300</v>
      </c>
      <c r="W128" s="420"/>
    </row>
    <row r="129" spans="1:22" ht="63">
      <c r="A129" s="423" t="s">
        <v>278</v>
      </c>
      <c r="B129" s="423" t="s">
        <v>23</v>
      </c>
      <c r="C129" s="423" t="s">
        <v>24</v>
      </c>
      <c r="D129" s="584" t="s">
        <v>536</v>
      </c>
      <c r="E129" s="549">
        <f t="shared" ref="E129:E134" si="55">F129+I129</f>
        <v>44673300</v>
      </c>
      <c r="F129" s="549">
        <v>44673300</v>
      </c>
      <c r="G129" s="549"/>
      <c r="H129" s="549"/>
      <c r="I129" s="549"/>
      <c r="J129" s="549">
        <f t="shared" ref="J129:J134" si="56">+K129+N129</f>
        <v>2239340</v>
      </c>
      <c r="K129" s="550">
        <v>2039340</v>
      </c>
      <c r="L129" s="550"/>
      <c r="M129" s="550"/>
      <c r="N129" s="549">
        <f>150000+50000</f>
        <v>200000</v>
      </c>
      <c r="O129" s="550">
        <v>200000</v>
      </c>
      <c r="P129" s="550">
        <v>200000</v>
      </c>
      <c r="Q129" s="549">
        <f t="shared" ref="Q129:Q134" si="57">+J129+E129</f>
        <v>46912640</v>
      </c>
      <c r="R129" s="419">
        <f t="shared" si="36"/>
        <v>46912640</v>
      </c>
      <c r="S129" s="420">
        <f t="shared" si="37"/>
        <v>0</v>
      </c>
      <c r="T129" s="421">
        <f t="shared" si="32"/>
        <v>0</v>
      </c>
      <c r="U129" s="421"/>
      <c r="V129" s="421">
        <f t="shared" si="33"/>
        <v>0</v>
      </c>
    </row>
    <row r="130" spans="1:22" ht="47.25">
      <c r="A130" s="423" t="s">
        <v>470</v>
      </c>
      <c r="B130" s="423" t="s">
        <v>11</v>
      </c>
      <c r="C130" s="423" t="s">
        <v>12</v>
      </c>
      <c r="D130" s="584" t="s">
        <v>517</v>
      </c>
      <c r="E130" s="549">
        <f t="shared" si="55"/>
        <v>863300</v>
      </c>
      <c r="F130" s="549">
        <v>863300</v>
      </c>
      <c r="G130" s="549">
        <v>562900</v>
      </c>
      <c r="H130" s="549">
        <v>32000</v>
      </c>
      <c r="I130" s="549"/>
      <c r="J130" s="549">
        <f t="shared" si="56"/>
        <v>0</v>
      </c>
      <c r="K130" s="550"/>
      <c r="L130" s="550"/>
      <c r="M130" s="550"/>
      <c r="N130" s="549"/>
      <c r="O130" s="550"/>
      <c r="P130" s="550"/>
      <c r="Q130" s="549">
        <f t="shared" si="57"/>
        <v>863300</v>
      </c>
      <c r="R130" s="419">
        <f t="shared" si="36"/>
        <v>863300</v>
      </c>
      <c r="S130" s="420">
        <f t="shared" si="37"/>
        <v>0</v>
      </c>
      <c r="T130" s="421">
        <f t="shared" si="32"/>
        <v>0</v>
      </c>
      <c r="U130" s="421"/>
      <c r="V130" s="421">
        <f t="shared" si="33"/>
        <v>0</v>
      </c>
    </row>
    <row r="131" spans="1:22" ht="15.75">
      <c r="A131" s="423" t="s">
        <v>642</v>
      </c>
      <c r="B131" s="423" t="s">
        <v>643</v>
      </c>
      <c r="C131" s="423" t="s">
        <v>353</v>
      </c>
      <c r="D131" s="584" t="s">
        <v>644</v>
      </c>
      <c r="E131" s="549">
        <f t="shared" si="55"/>
        <v>22837400</v>
      </c>
      <c r="F131" s="549">
        <v>22837400</v>
      </c>
      <c r="G131" s="549"/>
      <c r="H131" s="549"/>
      <c r="I131" s="549"/>
      <c r="J131" s="549">
        <f t="shared" si="56"/>
        <v>597600</v>
      </c>
      <c r="K131" s="550"/>
      <c r="L131" s="550"/>
      <c r="M131" s="550"/>
      <c r="N131" s="549">
        <v>597600</v>
      </c>
      <c r="O131" s="549">
        <v>597600</v>
      </c>
      <c r="P131" s="549">
        <v>597600</v>
      </c>
      <c r="Q131" s="549">
        <f t="shared" si="57"/>
        <v>23435000</v>
      </c>
      <c r="R131" s="419">
        <f t="shared" si="36"/>
        <v>23435000</v>
      </c>
      <c r="S131" s="420">
        <f t="shared" si="37"/>
        <v>0</v>
      </c>
      <c r="T131" s="421">
        <f t="shared" si="32"/>
        <v>0</v>
      </c>
      <c r="U131" s="421"/>
      <c r="V131" s="421">
        <f t="shared" si="33"/>
        <v>0</v>
      </c>
    </row>
    <row r="132" spans="1:22" ht="63">
      <c r="A132" s="423" t="s">
        <v>640</v>
      </c>
      <c r="B132" s="423" t="s">
        <v>352</v>
      </c>
      <c r="C132" s="423" t="s">
        <v>355</v>
      </c>
      <c r="D132" s="584" t="s">
        <v>645</v>
      </c>
      <c r="E132" s="549">
        <f t="shared" si="55"/>
        <v>19019500</v>
      </c>
      <c r="F132" s="549">
        <v>19019500</v>
      </c>
      <c r="G132" s="549"/>
      <c r="H132" s="549"/>
      <c r="I132" s="549"/>
      <c r="J132" s="549">
        <f t="shared" si="56"/>
        <v>649000</v>
      </c>
      <c r="K132" s="550"/>
      <c r="L132" s="550"/>
      <c r="M132" s="550"/>
      <c r="N132" s="549">
        <v>649000</v>
      </c>
      <c r="O132" s="550">
        <v>649000</v>
      </c>
      <c r="P132" s="550">
        <v>649000</v>
      </c>
      <c r="Q132" s="549">
        <f t="shared" si="57"/>
        <v>19668500</v>
      </c>
      <c r="R132" s="419">
        <f t="shared" si="36"/>
        <v>19668500</v>
      </c>
      <c r="S132" s="420">
        <f t="shared" si="37"/>
        <v>0</v>
      </c>
      <c r="T132" s="421">
        <f t="shared" si="32"/>
        <v>0</v>
      </c>
      <c r="U132" s="421"/>
      <c r="V132" s="421">
        <f t="shared" si="33"/>
        <v>0</v>
      </c>
    </row>
    <row r="133" spans="1:22" ht="15.75">
      <c r="A133" s="423" t="s">
        <v>641</v>
      </c>
      <c r="B133" s="423" t="s">
        <v>354</v>
      </c>
      <c r="C133" s="423" t="s">
        <v>207</v>
      </c>
      <c r="D133" s="584" t="s">
        <v>585</v>
      </c>
      <c r="E133" s="549">
        <f t="shared" si="55"/>
        <v>17663990</v>
      </c>
      <c r="F133" s="549">
        <v>17663990</v>
      </c>
      <c r="G133" s="549">
        <v>12653000</v>
      </c>
      <c r="H133" s="549">
        <v>1225880</v>
      </c>
      <c r="I133" s="549"/>
      <c r="J133" s="549">
        <f t="shared" si="56"/>
        <v>920200</v>
      </c>
      <c r="K133" s="550">
        <f>58700+2500</f>
        <v>61200</v>
      </c>
      <c r="L133" s="550">
        <f>32048+700</f>
        <v>32748</v>
      </c>
      <c r="M133" s="550">
        <f>1900+100</f>
        <v>2000</v>
      </c>
      <c r="N133" s="549">
        <f>300+759700+98000+1000</f>
        <v>859000</v>
      </c>
      <c r="O133" s="550">
        <v>857700</v>
      </c>
      <c r="P133" s="550">
        <v>857700</v>
      </c>
      <c r="Q133" s="549">
        <f t="shared" si="57"/>
        <v>18584190</v>
      </c>
      <c r="R133" s="419">
        <f t="shared" si="36"/>
        <v>18584190</v>
      </c>
      <c r="S133" s="420">
        <f t="shared" si="37"/>
        <v>0</v>
      </c>
      <c r="T133" s="421">
        <f t="shared" si="32"/>
        <v>0</v>
      </c>
      <c r="U133" s="421"/>
      <c r="V133" s="421">
        <f t="shared" si="33"/>
        <v>-1300</v>
      </c>
    </row>
    <row r="134" spans="1:22" ht="31.5">
      <c r="A134" s="423" t="s">
        <v>646</v>
      </c>
      <c r="B134" s="423" t="s">
        <v>647</v>
      </c>
      <c r="C134" s="423" t="s">
        <v>207</v>
      </c>
      <c r="D134" s="584" t="s">
        <v>648</v>
      </c>
      <c r="E134" s="549">
        <f t="shared" si="55"/>
        <v>18990600</v>
      </c>
      <c r="F134" s="549">
        <v>18990600</v>
      </c>
      <c r="G134" s="549">
        <v>10711100</v>
      </c>
      <c r="H134" s="549">
        <v>1889250</v>
      </c>
      <c r="I134" s="549"/>
      <c r="J134" s="549">
        <f t="shared" si="56"/>
        <v>765359</v>
      </c>
      <c r="K134" s="550">
        <v>648500</v>
      </c>
      <c r="L134" s="550">
        <v>268160</v>
      </c>
      <c r="M134" s="550">
        <v>6700</v>
      </c>
      <c r="N134" s="549">
        <v>116859</v>
      </c>
      <c r="O134" s="550">
        <v>66859</v>
      </c>
      <c r="P134" s="550">
        <v>66859</v>
      </c>
      <c r="Q134" s="549">
        <f t="shared" si="57"/>
        <v>19755959</v>
      </c>
      <c r="R134" s="419">
        <f t="shared" si="36"/>
        <v>19755959</v>
      </c>
      <c r="S134" s="420">
        <f t="shared" si="37"/>
        <v>0</v>
      </c>
      <c r="T134" s="421">
        <f t="shared" si="32"/>
        <v>0</v>
      </c>
      <c r="U134" s="421"/>
      <c r="V134" s="421">
        <f t="shared" si="33"/>
        <v>-50000</v>
      </c>
    </row>
    <row r="135" spans="1:22" s="554" customFormat="1" ht="31.5">
      <c r="A135" s="577" t="s">
        <v>649</v>
      </c>
      <c r="B135" s="577" t="s">
        <v>650</v>
      </c>
      <c r="C135" s="577"/>
      <c r="D135" s="578" t="s">
        <v>651</v>
      </c>
      <c r="E135" s="579">
        <f>SUM(E136:E137)</f>
        <v>9663400</v>
      </c>
      <c r="F135" s="579">
        <f t="shared" ref="F135:Q135" si="58">SUM(F136:F137)</f>
        <v>9663400</v>
      </c>
      <c r="G135" s="579">
        <f t="shared" si="58"/>
        <v>4023800</v>
      </c>
      <c r="H135" s="579">
        <f t="shared" si="58"/>
        <v>193900</v>
      </c>
      <c r="I135" s="579">
        <f t="shared" si="58"/>
        <v>0</v>
      </c>
      <c r="J135" s="579">
        <f t="shared" si="58"/>
        <v>325400</v>
      </c>
      <c r="K135" s="579">
        <f t="shared" si="58"/>
        <v>15800</v>
      </c>
      <c r="L135" s="579">
        <f t="shared" si="58"/>
        <v>8500</v>
      </c>
      <c r="M135" s="579">
        <f t="shared" si="58"/>
        <v>0</v>
      </c>
      <c r="N135" s="579">
        <f t="shared" si="58"/>
        <v>309600</v>
      </c>
      <c r="O135" s="579">
        <f t="shared" si="58"/>
        <v>309600</v>
      </c>
      <c r="P135" s="579">
        <f t="shared" si="58"/>
        <v>309600</v>
      </c>
      <c r="Q135" s="579">
        <f t="shared" si="58"/>
        <v>9988800</v>
      </c>
      <c r="R135" s="419">
        <f t="shared" si="36"/>
        <v>9988800</v>
      </c>
      <c r="S135" s="420">
        <f t="shared" si="37"/>
        <v>0</v>
      </c>
      <c r="T135" s="421">
        <f t="shared" si="32"/>
        <v>0</v>
      </c>
      <c r="U135" s="421"/>
      <c r="V135" s="421">
        <f t="shared" si="33"/>
        <v>0</v>
      </c>
    </row>
    <row r="136" spans="1:22" s="587" customFormat="1" ht="47.25">
      <c r="A136" s="417" t="s">
        <v>800</v>
      </c>
      <c r="B136" s="417" t="s">
        <v>801</v>
      </c>
      <c r="C136" s="417" t="s">
        <v>356</v>
      </c>
      <c r="D136" s="581" t="s">
        <v>802</v>
      </c>
      <c r="E136" s="546">
        <f>F136+I136</f>
        <v>6109000</v>
      </c>
      <c r="F136" s="546">
        <v>6109000</v>
      </c>
      <c r="G136" s="546">
        <v>3923800</v>
      </c>
      <c r="H136" s="546">
        <v>193900</v>
      </c>
      <c r="I136" s="546"/>
      <c r="J136" s="546">
        <f>+K136+N136</f>
        <v>325400</v>
      </c>
      <c r="K136" s="547">
        <v>15800</v>
      </c>
      <c r="L136" s="547">
        <v>8500</v>
      </c>
      <c r="M136" s="547"/>
      <c r="N136" s="546">
        <v>309600</v>
      </c>
      <c r="O136" s="546">
        <v>309600</v>
      </c>
      <c r="P136" s="546">
        <v>309600</v>
      </c>
      <c r="Q136" s="546">
        <f>+J136+E136</f>
        <v>6434400</v>
      </c>
      <c r="R136" s="419">
        <f t="shared" si="36"/>
        <v>6434400</v>
      </c>
      <c r="S136" s="420">
        <f t="shared" si="37"/>
        <v>0</v>
      </c>
      <c r="T136" s="421">
        <f t="shared" si="32"/>
        <v>0</v>
      </c>
      <c r="U136" s="421"/>
      <c r="V136" s="421">
        <f t="shared" si="33"/>
        <v>0</v>
      </c>
    </row>
    <row r="137" spans="1:22" s="587" customFormat="1" ht="31.5">
      <c r="A137" s="417" t="s">
        <v>906</v>
      </c>
      <c r="B137" s="417" t="s">
        <v>907</v>
      </c>
      <c r="C137" s="417" t="s">
        <v>356</v>
      </c>
      <c r="D137" s="581" t="s">
        <v>947</v>
      </c>
      <c r="E137" s="546">
        <f>F137+I137</f>
        <v>3554400</v>
      </c>
      <c r="F137" s="546">
        <v>3554400</v>
      </c>
      <c r="G137" s="546">
        <v>100000</v>
      </c>
      <c r="H137" s="546"/>
      <c r="I137" s="546"/>
      <c r="J137" s="546">
        <f>+K137+N137</f>
        <v>0</v>
      </c>
      <c r="K137" s="547"/>
      <c r="L137" s="547"/>
      <c r="M137" s="547"/>
      <c r="N137" s="546"/>
      <c r="O137" s="546"/>
      <c r="P137" s="546"/>
      <c r="Q137" s="546">
        <f>+J137+E137</f>
        <v>3554400</v>
      </c>
      <c r="R137" s="419">
        <f t="shared" si="36"/>
        <v>3554400</v>
      </c>
      <c r="S137" s="420">
        <f t="shared" si="37"/>
        <v>0</v>
      </c>
      <c r="T137" s="421">
        <f t="shared" si="32"/>
        <v>0</v>
      </c>
      <c r="U137" s="421"/>
      <c r="V137" s="421">
        <f t="shared" si="33"/>
        <v>0</v>
      </c>
    </row>
    <row r="138" spans="1:22" s="554" customFormat="1" ht="31.5">
      <c r="A138" s="577" t="s">
        <v>1021</v>
      </c>
      <c r="B138" s="577">
        <v>7320</v>
      </c>
      <c r="C138" s="577"/>
      <c r="D138" s="578" t="s">
        <v>1016</v>
      </c>
      <c r="E138" s="579">
        <f>E139</f>
        <v>0</v>
      </c>
      <c r="F138" s="579">
        <f t="shared" ref="F138:Q138" si="59">F139</f>
        <v>0</v>
      </c>
      <c r="G138" s="579">
        <f t="shared" si="59"/>
        <v>0</v>
      </c>
      <c r="H138" s="579">
        <f t="shared" si="59"/>
        <v>0</v>
      </c>
      <c r="I138" s="579">
        <f t="shared" si="59"/>
        <v>0</v>
      </c>
      <c r="J138" s="579">
        <f t="shared" si="59"/>
        <v>1000</v>
      </c>
      <c r="K138" s="579">
        <f t="shared" si="59"/>
        <v>0</v>
      </c>
      <c r="L138" s="579">
        <f t="shared" si="59"/>
        <v>0</v>
      </c>
      <c r="M138" s="579">
        <f t="shared" si="59"/>
        <v>0</v>
      </c>
      <c r="N138" s="579">
        <f t="shared" si="59"/>
        <v>1000</v>
      </c>
      <c r="O138" s="579">
        <f t="shared" si="59"/>
        <v>1000</v>
      </c>
      <c r="P138" s="579">
        <f t="shared" si="59"/>
        <v>1000</v>
      </c>
      <c r="Q138" s="579">
        <f t="shared" si="59"/>
        <v>1000</v>
      </c>
      <c r="R138" s="419">
        <f t="shared" si="36"/>
        <v>1000</v>
      </c>
      <c r="S138" s="420"/>
      <c r="T138" s="421">
        <f t="shared" si="32"/>
        <v>0</v>
      </c>
      <c r="U138" s="421"/>
      <c r="V138" s="421">
        <f t="shared" si="33"/>
        <v>0</v>
      </c>
    </row>
    <row r="139" spans="1:22" s="587" customFormat="1" ht="31.5">
      <c r="A139" s="417" t="s">
        <v>967</v>
      </c>
      <c r="B139" s="417" t="s">
        <v>966</v>
      </c>
      <c r="C139" s="417" t="s">
        <v>654</v>
      </c>
      <c r="D139" s="581" t="s">
        <v>1020</v>
      </c>
      <c r="E139" s="546">
        <f>F139+I139</f>
        <v>0</v>
      </c>
      <c r="F139" s="546"/>
      <c r="G139" s="546"/>
      <c r="H139" s="546"/>
      <c r="I139" s="546"/>
      <c r="J139" s="546">
        <f>+K139+N139</f>
        <v>1000</v>
      </c>
      <c r="K139" s="547"/>
      <c r="L139" s="547"/>
      <c r="M139" s="547"/>
      <c r="N139" s="546">
        <v>1000</v>
      </c>
      <c r="O139" s="547">
        <v>1000</v>
      </c>
      <c r="P139" s="547">
        <v>1000</v>
      </c>
      <c r="Q139" s="546">
        <f>+J139+E139</f>
        <v>1000</v>
      </c>
      <c r="R139" s="419">
        <f t="shared" si="36"/>
        <v>1000</v>
      </c>
      <c r="S139" s="623">
        <f t="shared" si="37"/>
        <v>0</v>
      </c>
      <c r="T139" s="421">
        <f t="shared" si="32"/>
        <v>0</v>
      </c>
      <c r="U139" s="421"/>
      <c r="V139" s="421">
        <f t="shared" si="33"/>
        <v>0</v>
      </c>
    </row>
    <row r="140" spans="1:22" s="587" customFormat="1" ht="31.5">
      <c r="A140" s="417" t="s">
        <v>656</v>
      </c>
      <c r="B140" s="417" t="s">
        <v>481</v>
      </c>
      <c r="C140" s="417" t="s">
        <v>654</v>
      </c>
      <c r="D140" s="581" t="s">
        <v>657</v>
      </c>
      <c r="E140" s="546">
        <f>F140+I140</f>
        <v>120000</v>
      </c>
      <c r="F140" s="546">
        <v>120000</v>
      </c>
      <c r="G140" s="546"/>
      <c r="H140" s="546"/>
      <c r="I140" s="546"/>
      <c r="J140" s="546">
        <f>+K140+N140</f>
        <v>0</v>
      </c>
      <c r="K140" s="547"/>
      <c r="L140" s="547"/>
      <c r="M140" s="547"/>
      <c r="N140" s="546"/>
      <c r="O140" s="547"/>
      <c r="P140" s="547"/>
      <c r="Q140" s="546">
        <f>+J140+E140</f>
        <v>120000</v>
      </c>
      <c r="R140" s="419">
        <f t="shared" si="36"/>
        <v>120000</v>
      </c>
      <c r="S140" s="623">
        <f>R140-Q140</f>
        <v>0</v>
      </c>
      <c r="T140" s="421">
        <f t="shared" si="32"/>
        <v>0</v>
      </c>
      <c r="U140" s="421"/>
      <c r="V140" s="421">
        <f t="shared" si="33"/>
        <v>0</v>
      </c>
    </row>
    <row r="141" spans="1:22" s="554" customFormat="1" ht="31.5">
      <c r="A141" s="577" t="s">
        <v>911</v>
      </c>
      <c r="B141" s="577" t="s">
        <v>912</v>
      </c>
      <c r="C141" s="577"/>
      <c r="D141" s="578" t="s">
        <v>915</v>
      </c>
      <c r="E141" s="579">
        <f>E142</f>
        <v>116000</v>
      </c>
      <c r="F141" s="579">
        <f t="shared" ref="F141:Q141" si="60">F142</f>
        <v>116000</v>
      </c>
      <c r="G141" s="579">
        <f t="shared" si="60"/>
        <v>0</v>
      </c>
      <c r="H141" s="579">
        <f t="shared" si="60"/>
        <v>0</v>
      </c>
      <c r="I141" s="579">
        <f t="shared" si="60"/>
        <v>0</v>
      </c>
      <c r="J141" s="579">
        <f t="shared" si="60"/>
        <v>0</v>
      </c>
      <c r="K141" s="579">
        <f t="shared" si="60"/>
        <v>0</v>
      </c>
      <c r="L141" s="579">
        <f t="shared" si="60"/>
        <v>0</v>
      </c>
      <c r="M141" s="579">
        <f t="shared" si="60"/>
        <v>0</v>
      </c>
      <c r="N141" s="579">
        <f t="shared" si="60"/>
        <v>0</v>
      </c>
      <c r="O141" s="579">
        <f t="shared" si="60"/>
        <v>0</v>
      </c>
      <c r="P141" s="579">
        <f t="shared" si="60"/>
        <v>0</v>
      </c>
      <c r="Q141" s="579">
        <f t="shared" si="60"/>
        <v>116000</v>
      </c>
      <c r="R141" s="419">
        <f t="shared" si="36"/>
        <v>116000</v>
      </c>
      <c r="S141" s="420">
        <f t="shared" si="37"/>
        <v>0</v>
      </c>
      <c r="T141" s="421">
        <f t="shared" si="32"/>
        <v>0</v>
      </c>
      <c r="U141" s="421"/>
      <c r="V141" s="421">
        <f t="shared" si="33"/>
        <v>0</v>
      </c>
    </row>
    <row r="142" spans="1:22" s="587" customFormat="1" ht="31.5">
      <c r="A142" s="417" t="s">
        <v>913</v>
      </c>
      <c r="B142" s="417" t="s">
        <v>914</v>
      </c>
      <c r="C142" s="417" t="s">
        <v>917</v>
      </c>
      <c r="D142" s="581" t="s">
        <v>916</v>
      </c>
      <c r="E142" s="546">
        <f>F142+I142</f>
        <v>116000</v>
      </c>
      <c r="F142" s="546">
        <v>116000</v>
      </c>
      <c r="G142" s="546"/>
      <c r="H142" s="546"/>
      <c r="I142" s="546"/>
      <c r="J142" s="546">
        <f>+K142+N142</f>
        <v>0</v>
      </c>
      <c r="K142" s="547"/>
      <c r="L142" s="547"/>
      <c r="M142" s="547"/>
      <c r="N142" s="546"/>
      <c r="O142" s="547"/>
      <c r="P142" s="547"/>
      <c r="Q142" s="546">
        <f>+J142+E142</f>
        <v>116000</v>
      </c>
      <c r="R142" s="419">
        <f t="shared" si="36"/>
        <v>116000</v>
      </c>
      <c r="S142" s="420">
        <f t="shared" si="37"/>
        <v>0</v>
      </c>
      <c r="T142" s="421">
        <f t="shared" si="32"/>
        <v>0</v>
      </c>
      <c r="U142" s="421"/>
      <c r="V142" s="421">
        <f t="shared" si="33"/>
        <v>0</v>
      </c>
    </row>
    <row r="143" spans="1:22" s="180" customFormat="1" ht="31.5" hidden="1">
      <c r="A143" s="27" t="s">
        <v>658</v>
      </c>
      <c r="B143" s="27" t="s">
        <v>659</v>
      </c>
      <c r="C143" s="27" t="s">
        <v>357</v>
      </c>
      <c r="D143" s="26" t="s">
        <v>660</v>
      </c>
      <c r="E143" s="199">
        <f>F143+I143</f>
        <v>0</v>
      </c>
      <c r="F143" s="203"/>
      <c r="G143" s="203"/>
      <c r="H143" s="203"/>
      <c r="I143" s="203"/>
      <c r="J143" s="199">
        <f>+K143+N143</f>
        <v>0</v>
      </c>
      <c r="K143" s="206"/>
      <c r="L143" s="206"/>
      <c r="M143" s="206"/>
      <c r="N143" s="203"/>
      <c r="O143" s="206"/>
      <c r="P143" s="206"/>
      <c r="Q143" s="199">
        <f>+J143+E143</f>
        <v>0</v>
      </c>
      <c r="R143" s="419">
        <f t="shared" si="36"/>
        <v>0</v>
      </c>
      <c r="S143" s="169">
        <f t="shared" si="37"/>
        <v>0</v>
      </c>
      <c r="T143" s="339">
        <f t="shared" si="32"/>
        <v>0</v>
      </c>
      <c r="U143" s="339"/>
      <c r="V143" s="339">
        <f t="shared" si="33"/>
        <v>0</v>
      </c>
    </row>
    <row r="144" spans="1:22" s="587" customFormat="1" ht="31.5" hidden="1">
      <c r="A144" s="423" t="s">
        <v>908</v>
      </c>
      <c r="B144" s="423" t="s">
        <v>909</v>
      </c>
      <c r="C144" s="423" t="s">
        <v>357</v>
      </c>
      <c r="D144" s="584" t="s">
        <v>910</v>
      </c>
      <c r="E144" s="549">
        <f>F144+I144</f>
        <v>0</v>
      </c>
      <c r="F144" s="546"/>
      <c r="G144" s="546"/>
      <c r="H144" s="546"/>
      <c r="I144" s="546"/>
      <c r="J144" s="549">
        <f>+K144+N144</f>
        <v>0</v>
      </c>
      <c r="K144" s="547"/>
      <c r="L144" s="547"/>
      <c r="M144" s="547"/>
      <c r="N144" s="546"/>
      <c r="O144" s="547"/>
      <c r="P144" s="547"/>
      <c r="Q144" s="549">
        <f>+J144+E144</f>
        <v>0</v>
      </c>
      <c r="R144" s="419">
        <f t="shared" si="36"/>
        <v>0</v>
      </c>
      <c r="S144" s="420">
        <f t="shared" si="37"/>
        <v>0</v>
      </c>
      <c r="T144" s="421">
        <f t="shared" ref="T144:T207" si="61">P144-O144</f>
        <v>0</v>
      </c>
      <c r="U144" s="421"/>
      <c r="V144" s="421">
        <f t="shared" ref="V144:V207" si="62">O144-N144</f>
        <v>0</v>
      </c>
    </row>
    <row r="145" spans="1:22" s="624" customFormat="1" ht="78.75">
      <c r="A145" s="598" t="s">
        <v>421</v>
      </c>
      <c r="B145" s="598"/>
      <c r="C145" s="598"/>
      <c r="D145" s="589" t="s">
        <v>1818</v>
      </c>
      <c r="E145" s="590">
        <f>E149+E151+E152+E153+E155+E157+E159+E160+E162+E163+E165+E166+E168+E169+E170+E172+E173+E174+E176+E177+E179+E156+E183+E182+E180</f>
        <v>70449549</v>
      </c>
      <c r="F145" s="590">
        <f t="shared" ref="F145:Q145" si="63">F149+F151+F152+F153+F155+F157+F159+F160+F162+F163+F165+F166+F168+F169+F170+F172+F173+F174+F176+F177+F179+F156+F183+F182+F180</f>
        <v>70449549</v>
      </c>
      <c r="G145" s="590">
        <f t="shared" si="63"/>
        <v>22138600</v>
      </c>
      <c r="H145" s="590">
        <f t="shared" si="63"/>
        <v>3481100</v>
      </c>
      <c r="I145" s="590">
        <f t="shared" si="63"/>
        <v>0</v>
      </c>
      <c r="J145" s="590">
        <f t="shared" si="63"/>
        <v>6561177</v>
      </c>
      <c r="K145" s="590">
        <f t="shared" si="63"/>
        <v>2046281.6</v>
      </c>
      <c r="L145" s="590">
        <f t="shared" si="63"/>
        <v>750100</v>
      </c>
      <c r="M145" s="590">
        <f t="shared" si="63"/>
        <v>82300</v>
      </c>
      <c r="N145" s="590">
        <f t="shared" si="63"/>
        <v>4514895.4000000004</v>
      </c>
      <c r="O145" s="590">
        <f t="shared" si="63"/>
        <v>4318876</v>
      </c>
      <c r="P145" s="590">
        <f t="shared" si="63"/>
        <v>4318876</v>
      </c>
      <c r="Q145" s="590">
        <f t="shared" si="63"/>
        <v>77010726</v>
      </c>
      <c r="R145" s="419">
        <f t="shared" si="36"/>
        <v>77010726</v>
      </c>
      <c r="S145" s="420">
        <f t="shared" si="37"/>
        <v>0</v>
      </c>
      <c r="T145" s="421">
        <f t="shared" si="61"/>
        <v>0</v>
      </c>
      <c r="U145" s="421"/>
      <c r="V145" s="421">
        <f t="shared" si="62"/>
        <v>-196019.40000000037</v>
      </c>
    </row>
    <row r="146" spans="1:22" s="624" customFormat="1" ht="78.75">
      <c r="A146" s="598" t="s">
        <v>422</v>
      </c>
      <c r="B146" s="598"/>
      <c r="C146" s="598"/>
      <c r="D146" s="589" t="s">
        <v>1818</v>
      </c>
      <c r="E146" s="590">
        <f>E148+E150+E154+E157+E158+E161+E164+E167+E171+E175+E178+E183+E182+E181</f>
        <v>70449549</v>
      </c>
      <c r="F146" s="590">
        <f t="shared" ref="F146:Q146" si="64">F148+F150+F154+F157+F158+F161+F164+F167+F171+F175+F178+F183+F182+F181</f>
        <v>70449549</v>
      </c>
      <c r="G146" s="590">
        <f t="shared" si="64"/>
        <v>22138600</v>
      </c>
      <c r="H146" s="590">
        <f t="shared" si="64"/>
        <v>3481100</v>
      </c>
      <c r="I146" s="590">
        <f t="shared" si="64"/>
        <v>0</v>
      </c>
      <c r="J146" s="590">
        <f t="shared" si="64"/>
        <v>6561177</v>
      </c>
      <c r="K146" s="590">
        <f t="shared" si="64"/>
        <v>2046281.6</v>
      </c>
      <c r="L146" s="590">
        <f t="shared" si="64"/>
        <v>750100</v>
      </c>
      <c r="M146" s="590">
        <f t="shared" si="64"/>
        <v>82300</v>
      </c>
      <c r="N146" s="590">
        <f t="shared" si="64"/>
        <v>4514895.4000000004</v>
      </c>
      <c r="O146" s="590">
        <f t="shared" si="64"/>
        <v>4318876</v>
      </c>
      <c r="P146" s="590">
        <f t="shared" si="64"/>
        <v>4318876</v>
      </c>
      <c r="Q146" s="590">
        <f t="shared" si="64"/>
        <v>77010726</v>
      </c>
      <c r="R146" s="419">
        <f t="shared" si="36"/>
        <v>77010726</v>
      </c>
      <c r="S146" s="420">
        <f t="shared" si="37"/>
        <v>0</v>
      </c>
      <c r="T146" s="421">
        <f t="shared" si="61"/>
        <v>0</v>
      </c>
      <c r="U146" s="421"/>
      <c r="V146" s="421">
        <f t="shared" si="62"/>
        <v>-196019.40000000037</v>
      </c>
    </row>
    <row r="147" spans="1:22" s="624" customFormat="1" ht="15.75">
      <c r="A147" s="598"/>
      <c r="B147" s="598"/>
      <c r="C147" s="598"/>
      <c r="D147" s="589"/>
      <c r="E147" s="590">
        <f>E146-E179</f>
        <v>70404749</v>
      </c>
      <c r="F147" s="590">
        <f t="shared" ref="F147:Q147" si="65">F146-F179</f>
        <v>70404749</v>
      </c>
      <c r="G147" s="590">
        <f t="shared" si="65"/>
        <v>22138600</v>
      </c>
      <c r="H147" s="590">
        <f t="shared" si="65"/>
        <v>3481100</v>
      </c>
      <c r="I147" s="590">
        <f t="shared" si="65"/>
        <v>0</v>
      </c>
      <c r="J147" s="590">
        <f t="shared" si="65"/>
        <v>6528720</v>
      </c>
      <c r="K147" s="590">
        <f t="shared" si="65"/>
        <v>2013824.6</v>
      </c>
      <c r="L147" s="590">
        <f t="shared" si="65"/>
        <v>750100</v>
      </c>
      <c r="M147" s="590">
        <f t="shared" si="65"/>
        <v>82300</v>
      </c>
      <c r="N147" s="590">
        <f t="shared" si="65"/>
        <v>4514895.4000000004</v>
      </c>
      <c r="O147" s="590">
        <f t="shared" si="65"/>
        <v>4318876</v>
      </c>
      <c r="P147" s="590">
        <f t="shared" si="65"/>
        <v>4318876</v>
      </c>
      <c r="Q147" s="590">
        <f t="shared" si="65"/>
        <v>76933469</v>
      </c>
      <c r="R147" s="419">
        <f t="shared" ref="R147:R210" si="66">+E147+J147</f>
        <v>76933469</v>
      </c>
      <c r="S147" s="420"/>
      <c r="T147" s="421">
        <f t="shared" si="61"/>
        <v>0</v>
      </c>
      <c r="U147" s="421"/>
      <c r="V147" s="421">
        <f t="shared" si="62"/>
        <v>-196019.40000000037</v>
      </c>
    </row>
    <row r="148" spans="1:22" s="586" customFormat="1" ht="31.5" hidden="1">
      <c r="A148" s="577" t="s">
        <v>112</v>
      </c>
      <c r="B148" s="577" t="s">
        <v>452</v>
      </c>
      <c r="C148" s="577"/>
      <c r="D148" s="578" t="s">
        <v>113</v>
      </c>
      <c r="E148" s="579">
        <f>SUBTOTAL(9,E149)</f>
        <v>0</v>
      </c>
      <c r="F148" s="579">
        <f t="shared" ref="F148:Q148" si="67">SUBTOTAL(9,F149)</f>
        <v>0</v>
      </c>
      <c r="G148" s="579">
        <f t="shared" si="67"/>
        <v>0</v>
      </c>
      <c r="H148" s="579">
        <f t="shared" si="67"/>
        <v>0</v>
      </c>
      <c r="I148" s="579">
        <f t="shared" si="67"/>
        <v>0</v>
      </c>
      <c r="J148" s="579">
        <f t="shared" si="67"/>
        <v>0</v>
      </c>
      <c r="K148" s="579">
        <f t="shared" si="67"/>
        <v>0</v>
      </c>
      <c r="L148" s="579">
        <f t="shared" si="67"/>
        <v>0</v>
      </c>
      <c r="M148" s="579">
        <f t="shared" si="67"/>
        <v>0</v>
      </c>
      <c r="N148" s="579">
        <f t="shared" si="67"/>
        <v>0</v>
      </c>
      <c r="O148" s="579">
        <f t="shared" si="67"/>
        <v>0</v>
      </c>
      <c r="P148" s="579">
        <f t="shared" si="67"/>
        <v>0</v>
      </c>
      <c r="Q148" s="579">
        <f t="shared" si="67"/>
        <v>0</v>
      </c>
      <c r="R148" s="419">
        <f t="shared" si="66"/>
        <v>0</v>
      </c>
      <c r="S148" s="420">
        <f t="shared" si="37"/>
        <v>0</v>
      </c>
      <c r="T148" s="421">
        <f t="shared" si="61"/>
        <v>0</v>
      </c>
      <c r="U148" s="421"/>
      <c r="V148" s="421">
        <f t="shared" si="62"/>
        <v>0</v>
      </c>
    </row>
    <row r="149" spans="1:22" s="587" customFormat="1" ht="63" hidden="1">
      <c r="A149" s="417" t="s">
        <v>375</v>
      </c>
      <c r="B149" s="417" t="s">
        <v>426</v>
      </c>
      <c r="C149" s="603" t="s">
        <v>14</v>
      </c>
      <c r="D149" s="604" t="s">
        <v>98</v>
      </c>
      <c r="E149" s="582">
        <f>F149+I149</f>
        <v>0</v>
      </c>
      <c r="F149" s="546">
        <f>1044600-1044600</f>
        <v>0</v>
      </c>
      <c r="G149" s="546">
        <f>504000-504000</f>
        <v>0</v>
      </c>
      <c r="H149" s="546">
        <f>98800-98800</f>
        <v>0</v>
      </c>
      <c r="I149" s="546"/>
      <c r="J149" s="546">
        <f>+K149+N149</f>
        <v>0</v>
      </c>
      <c r="K149" s="546"/>
      <c r="L149" s="546"/>
      <c r="M149" s="546"/>
      <c r="N149" s="546">
        <f>12000-12000</f>
        <v>0</v>
      </c>
      <c r="O149" s="546">
        <f>12000-12000</f>
        <v>0</v>
      </c>
      <c r="P149" s="546">
        <f>12000-12000</f>
        <v>0</v>
      </c>
      <c r="Q149" s="546">
        <f>+J149+E149</f>
        <v>0</v>
      </c>
      <c r="R149" s="419">
        <f t="shared" si="66"/>
        <v>0</v>
      </c>
      <c r="S149" s="420">
        <f t="shared" si="37"/>
        <v>0</v>
      </c>
      <c r="T149" s="421">
        <f t="shared" si="61"/>
        <v>0</v>
      </c>
      <c r="U149" s="421"/>
      <c r="V149" s="421">
        <f t="shared" si="62"/>
        <v>0</v>
      </c>
    </row>
    <row r="150" spans="1:22" s="586" customFormat="1" ht="47.25" hidden="1">
      <c r="A150" s="577" t="s">
        <v>661</v>
      </c>
      <c r="B150" s="577" t="s">
        <v>662</v>
      </c>
      <c r="C150" s="577"/>
      <c r="D150" s="578" t="s">
        <v>123</v>
      </c>
      <c r="E150" s="579">
        <f t="shared" ref="E150:Q150" si="68">SUBTOTAL(9,E151:E153)</f>
        <v>0</v>
      </c>
      <c r="F150" s="579">
        <f t="shared" si="68"/>
        <v>0</v>
      </c>
      <c r="G150" s="579">
        <f t="shared" si="68"/>
        <v>0</v>
      </c>
      <c r="H150" s="579">
        <f t="shared" si="68"/>
        <v>0</v>
      </c>
      <c r="I150" s="579">
        <f t="shared" si="68"/>
        <v>0</v>
      </c>
      <c r="J150" s="579">
        <f t="shared" si="68"/>
        <v>0</v>
      </c>
      <c r="K150" s="579">
        <f t="shared" si="68"/>
        <v>0</v>
      </c>
      <c r="L150" s="579">
        <f t="shared" si="68"/>
        <v>0</v>
      </c>
      <c r="M150" s="579">
        <f t="shared" si="68"/>
        <v>0</v>
      </c>
      <c r="N150" s="579">
        <f t="shared" si="68"/>
        <v>0</v>
      </c>
      <c r="O150" s="579">
        <f t="shared" si="68"/>
        <v>0</v>
      </c>
      <c r="P150" s="579">
        <f t="shared" si="68"/>
        <v>0</v>
      </c>
      <c r="Q150" s="579">
        <f t="shared" si="68"/>
        <v>0</v>
      </c>
      <c r="R150" s="419">
        <f t="shared" si="66"/>
        <v>0</v>
      </c>
      <c r="S150" s="420">
        <f t="shared" si="37"/>
        <v>0</v>
      </c>
      <c r="T150" s="421">
        <f t="shared" si="61"/>
        <v>0</v>
      </c>
      <c r="U150" s="421"/>
      <c r="V150" s="421">
        <f t="shared" si="62"/>
        <v>0</v>
      </c>
    </row>
    <row r="151" spans="1:22" s="587" customFormat="1" ht="47.25" hidden="1">
      <c r="A151" s="417" t="s">
        <v>663</v>
      </c>
      <c r="B151" s="417" t="s">
        <v>664</v>
      </c>
      <c r="C151" s="417" t="s">
        <v>14</v>
      </c>
      <c r="D151" s="581" t="s">
        <v>665</v>
      </c>
      <c r="E151" s="546">
        <f>F151+I151</f>
        <v>0</v>
      </c>
      <c r="F151" s="546">
        <f>1645700-1645700</f>
        <v>0</v>
      </c>
      <c r="G151" s="546">
        <f>996800-996800</f>
        <v>0</v>
      </c>
      <c r="H151" s="546">
        <f>70400-70400</f>
        <v>0</v>
      </c>
      <c r="I151" s="546"/>
      <c r="J151" s="546">
        <f t="shared" ref="J151:J160" si="69">+K151+N151</f>
        <v>0</v>
      </c>
      <c r="K151" s="547"/>
      <c r="L151" s="547"/>
      <c r="M151" s="547"/>
      <c r="N151" s="546"/>
      <c r="O151" s="547"/>
      <c r="P151" s="547"/>
      <c r="Q151" s="546">
        <f>+J151+E151</f>
        <v>0</v>
      </c>
      <c r="R151" s="419">
        <f t="shared" si="66"/>
        <v>0</v>
      </c>
      <c r="S151" s="420">
        <f t="shared" si="37"/>
        <v>0</v>
      </c>
      <c r="T151" s="421">
        <f t="shared" si="61"/>
        <v>0</v>
      </c>
      <c r="U151" s="421"/>
      <c r="V151" s="421">
        <f t="shared" si="62"/>
        <v>0</v>
      </c>
    </row>
    <row r="152" spans="1:22" s="587" customFormat="1" ht="63" hidden="1">
      <c r="A152" s="417" t="s">
        <v>666</v>
      </c>
      <c r="B152" s="417" t="s">
        <v>667</v>
      </c>
      <c r="C152" s="417" t="s">
        <v>14</v>
      </c>
      <c r="D152" s="613" t="s">
        <v>379</v>
      </c>
      <c r="E152" s="546">
        <f>F152+I152</f>
        <v>0</v>
      </c>
      <c r="F152" s="546">
        <f>82900-82900</f>
        <v>0</v>
      </c>
      <c r="G152" s="546"/>
      <c r="H152" s="546"/>
      <c r="I152" s="546"/>
      <c r="J152" s="546">
        <f t="shared" si="69"/>
        <v>0</v>
      </c>
      <c r="K152" s="547"/>
      <c r="L152" s="547"/>
      <c r="M152" s="547"/>
      <c r="N152" s="546"/>
      <c r="O152" s="547"/>
      <c r="P152" s="547"/>
      <c r="Q152" s="546">
        <f>+J152+E152</f>
        <v>0</v>
      </c>
      <c r="R152" s="419">
        <f t="shared" si="66"/>
        <v>0</v>
      </c>
      <c r="S152" s="420">
        <f t="shared" si="37"/>
        <v>0</v>
      </c>
      <c r="T152" s="421">
        <f t="shared" si="61"/>
        <v>0</v>
      </c>
      <c r="U152" s="421"/>
      <c r="V152" s="421">
        <f t="shared" si="62"/>
        <v>0</v>
      </c>
    </row>
    <row r="153" spans="1:22" s="587" customFormat="1" ht="31.5" hidden="1">
      <c r="A153" s="417" t="s">
        <v>668</v>
      </c>
      <c r="B153" s="417" t="s">
        <v>669</v>
      </c>
      <c r="C153" s="417" t="s">
        <v>14</v>
      </c>
      <c r="D153" s="581" t="s">
        <v>224</v>
      </c>
      <c r="E153" s="546">
        <f>F153+I153</f>
        <v>0</v>
      </c>
      <c r="F153" s="546">
        <f>507900-507900</f>
        <v>0</v>
      </c>
      <c r="G153" s="546">
        <f>5000-5000</f>
        <v>0</v>
      </c>
      <c r="H153" s="546"/>
      <c r="I153" s="546"/>
      <c r="J153" s="546">
        <f t="shared" si="69"/>
        <v>0</v>
      </c>
      <c r="K153" s="547"/>
      <c r="L153" s="547"/>
      <c r="M153" s="547"/>
      <c r="N153" s="546"/>
      <c r="O153" s="547"/>
      <c r="P153" s="547"/>
      <c r="Q153" s="546">
        <f>+J153+E153</f>
        <v>0</v>
      </c>
      <c r="R153" s="419">
        <f t="shared" si="66"/>
        <v>0</v>
      </c>
      <c r="S153" s="420">
        <f t="shared" si="37"/>
        <v>0</v>
      </c>
      <c r="T153" s="421">
        <f t="shared" si="61"/>
        <v>0</v>
      </c>
      <c r="U153" s="421"/>
      <c r="V153" s="421">
        <f t="shared" si="62"/>
        <v>0</v>
      </c>
    </row>
    <row r="154" spans="1:22" s="586" customFormat="1" ht="31.5">
      <c r="A154" s="577" t="s">
        <v>427</v>
      </c>
      <c r="B154" s="577" t="s">
        <v>428</v>
      </c>
      <c r="C154" s="577"/>
      <c r="D154" s="578" t="s">
        <v>258</v>
      </c>
      <c r="E154" s="579">
        <f>E155+E156</f>
        <v>1397200</v>
      </c>
      <c r="F154" s="579">
        <f t="shared" ref="F154:Q154" si="70">F155+F156</f>
        <v>1397200</v>
      </c>
      <c r="G154" s="579">
        <f t="shared" si="70"/>
        <v>10000</v>
      </c>
      <c r="H154" s="579">
        <f t="shared" si="70"/>
        <v>0</v>
      </c>
      <c r="I154" s="579">
        <f t="shared" si="70"/>
        <v>0</v>
      </c>
      <c r="J154" s="579">
        <f t="shared" si="70"/>
        <v>0</v>
      </c>
      <c r="K154" s="579">
        <f t="shared" si="70"/>
        <v>0</v>
      </c>
      <c r="L154" s="579">
        <f t="shared" si="70"/>
        <v>0</v>
      </c>
      <c r="M154" s="579">
        <f t="shared" si="70"/>
        <v>0</v>
      </c>
      <c r="N154" s="579">
        <f t="shared" si="70"/>
        <v>0</v>
      </c>
      <c r="O154" s="579">
        <f t="shared" si="70"/>
        <v>0</v>
      </c>
      <c r="P154" s="579">
        <f t="shared" si="70"/>
        <v>0</v>
      </c>
      <c r="Q154" s="579">
        <f t="shared" si="70"/>
        <v>1397200</v>
      </c>
      <c r="R154" s="419">
        <f t="shared" si="66"/>
        <v>1397200</v>
      </c>
      <c r="S154" s="420">
        <f t="shared" si="37"/>
        <v>0</v>
      </c>
      <c r="T154" s="421">
        <f t="shared" si="61"/>
        <v>0</v>
      </c>
      <c r="U154" s="421"/>
      <c r="V154" s="421">
        <f t="shared" si="62"/>
        <v>0</v>
      </c>
    </row>
    <row r="155" spans="1:22" s="587" customFormat="1" ht="63">
      <c r="A155" s="417" t="s">
        <v>435</v>
      </c>
      <c r="B155" s="417" t="s">
        <v>436</v>
      </c>
      <c r="C155" s="417" t="s">
        <v>14</v>
      </c>
      <c r="D155" s="581" t="s">
        <v>259</v>
      </c>
      <c r="E155" s="546">
        <f>F155+I155</f>
        <v>1377200</v>
      </c>
      <c r="F155" s="546">
        <v>1377200</v>
      </c>
      <c r="G155" s="546">
        <v>10000</v>
      </c>
      <c r="H155" s="546"/>
      <c r="I155" s="546"/>
      <c r="J155" s="546">
        <f t="shared" si="69"/>
        <v>0</v>
      </c>
      <c r="K155" s="547"/>
      <c r="L155" s="547"/>
      <c r="M155" s="547"/>
      <c r="N155" s="546"/>
      <c r="O155" s="547"/>
      <c r="P155" s="547"/>
      <c r="Q155" s="546">
        <f>+J155+E155</f>
        <v>1377200</v>
      </c>
      <c r="R155" s="419">
        <f t="shared" si="66"/>
        <v>1377200</v>
      </c>
      <c r="S155" s="420">
        <f t="shared" si="37"/>
        <v>0</v>
      </c>
      <c r="T155" s="421">
        <f t="shared" si="61"/>
        <v>0</v>
      </c>
      <c r="U155" s="421"/>
      <c r="V155" s="421">
        <f t="shared" si="62"/>
        <v>0</v>
      </c>
    </row>
    <row r="156" spans="1:22" s="587" customFormat="1" ht="31.5">
      <c r="A156" s="417" t="s">
        <v>437</v>
      </c>
      <c r="B156" s="417" t="s">
        <v>438</v>
      </c>
      <c r="C156" s="417" t="s">
        <v>14</v>
      </c>
      <c r="D156" s="581" t="s">
        <v>918</v>
      </c>
      <c r="E156" s="546">
        <f>F156+I156</f>
        <v>20000</v>
      </c>
      <c r="F156" s="546">
        <v>20000</v>
      </c>
      <c r="G156" s="546"/>
      <c r="H156" s="546"/>
      <c r="I156" s="546"/>
      <c r="J156" s="546">
        <f>+K156+N156</f>
        <v>0</v>
      </c>
      <c r="K156" s="547"/>
      <c r="L156" s="547"/>
      <c r="M156" s="547"/>
      <c r="N156" s="546"/>
      <c r="O156" s="547"/>
      <c r="P156" s="547"/>
      <c r="Q156" s="546">
        <f>+J156+E156</f>
        <v>20000</v>
      </c>
      <c r="R156" s="419">
        <f t="shared" si="66"/>
        <v>20000</v>
      </c>
      <c r="S156" s="420">
        <f t="shared" si="37"/>
        <v>0</v>
      </c>
      <c r="T156" s="421">
        <f t="shared" si="61"/>
        <v>0</v>
      </c>
      <c r="U156" s="421"/>
      <c r="V156" s="421">
        <f t="shared" si="62"/>
        <v>0</v>
      </c>
    </row>
    <row r="157" spans="1:22" ht="110.25">
      <c r="A157" s="423" t="s">
        <v>439</v>
      </c>
      <c r="B157" s="423" t="s">
        <v>440</v>
      </c>
      <c r="C157" s="423" t="s">
        <v>14</v>
      </c>
      <c r="D157" s="584" t="s">
        <v>189</v>
      </c>
      <c r="E157" s="549">
        <f>F157+I157</f>
        <v>9586000</v>
      </c>
      <c r="F157" s="549">
        <v>9586000</v>
      </c>
      <c r="G157" s="549"/>
      <c r="H157" s="549"/>
      <c r="I157" s="549"/>
      <c r="J157" s="549">
        <f t="shared" si="69"/>
        <v>175117.4</v>
      </c>
      <c r="K157" s="550">
        <v>4098</v>
      </c>
      <c r="L157" s="550"/>
      <c r="M157" s="550"/>
      <c r="N157" s="549">
        <v>171019.4</v>
      </c>
      <c r="O157" s="550"/>
      <c r="P157" s="550"/>
      <c r="Q157" s="549">
        <f>+J157+E157</f>
        <v>9761117.4000000004</v>
      </c>
      <c r="R157" s="419">
        <f t="shared" si="66"/>
        <v>9761117.4000000004</v>
      </c>
      <c r="S157" s="420">
        <f t="shared" si="37"/>
        <v>0</v>
      </c>
      <c r="T157" s="421">
        <f t="shared" si="61"/>
        <v>0</v>
      </c>
      <c r="U157" s="421"/>
      <c r="V157" s="421">
        <f t="shared" si="62"/>
        <v>-171019.4</v>
      </c>
    </row>
    <row r="158" spans="1:22" s="577" customFormat="1" ht="15.75">
      <c r="A158" s="577" t="s">
        <v>670</v>
      </c>
      <c r="B158" s="577">
        <v>3240</v>
      </c>
      <c r="D158" s="625" t="s">
        <v>497</v>
      </c>
      <c r="E158" s="579">
        <f>SUM(E159:E160)</f>
        <v>480350</v>
      </c>
      <c r="F158" s="579">
        <f t="shared" ref="F158:Q158" si="71">SUM(F159:F160)</f>
        <v>480350</v>
      </c>
      <c r="G158" s="579">
        <f t="shared" si="71"/>
        <v>347950</v>
      </c>
      <c r="H158" s="579">
        <f t="shared" si="71"/>
        <v>52100</v>
      </c>
      <c r="I158" s="579">
        <f t="shared" si="71"/>
        <v>0</v>
      </c>
      <c r="J158" s="579">
        <f t="shared" si="71"/>
        <v>0</v>
      </c>
      <c r="K158" s="579">
        <f t="shared" si="71"/>
        <v>0</v>
      </c>
      <c r="L158" s="579">
        <f t="shared" si="71"/>
        <v>0</v>
      </c>
      <c r="M158" s="579">
        <f t="shared" si="71"/>
        <v>0</v>
      </c>
      <c r="N158" s="579">
        <f t="shared" si="71"/>
        <v>0</v>
      </c>
      <c r="O158" s="579">
        <f t="shared" si="71"/>
        <v>0</v>
      </c>
      <c r="P158" s="579">
        <f t="shared" si="71"/>
        <v>0</v>
      </c>
      <c r="Q158" s="579">
        <f t="shared" si="71"/>
        <v>480350</v>
      </c>
      <c r="R158" s="419">
        <f t="shared" si="66"/>
        <v>480350</v>
      </c>
      <c r="S158" s="420">
        <f t="shared" si="37"/>
        <v>0</v>
      </c>
      <c r="T158" s="421">
        <f t="shared" si="61"/>
        <v>0</v>
      </c>
      <c r="U158" s="421"/>
      <c r="V158" s="421">
        <f t="shared" si="62"/>
        <v>0</v>
      </c>
    </row>
    <row r="159" spans="1:22" ht="63">
      <c r="A159" s="423" t="s">
        <v>671</v>
      </c>
      <c r="B159" s="417" t="s">
        <v>624</v>
      </c>
      <c r="C159" s="417">
        <v>1090</v>
      </c>
      <c r="D159" s="581" t="s">
        <v>625</v>
      </c>
      <c r="E159" s="549">
        <f>+F159+I159</f>
        <v>480350</v>
      </c>
      <c r="F159" s="549">
        <v>480350</v>
      </c>
      <c r="G159" s="549">
        <f>976750-628800</f>
        <v>347950</v>
      </c>
      <c r="H159" s="549">
        <v>52100</v>
      </c>
      <c r="I159" s="549"/>
      <c r="J159" s="549">
        <f t="shared" si="69"/>
        <v>0</v>
      </c>
      <c r="K159" s="550"/>
      <c r="L159" s="550"/>
      <c r="M159" s="550"/>
      <c r="N159" s="549">
        <f>13000-13000</f>
        <v>0</v>
      </c>
      <c r="O159" s="550">
        <f>13000-13000</f>
        <v>0</v>
      </c>
      <c r="P159" s="550">
        <f>13000-13000</f>
        <v>0</v>
      </c>
      <c r="Q159" s="549">
        <f>+J159+E159</f>
        <v>480350</v>
      </c>
      <c r="R159" s="419">
        <f t="shared" si="66"/>
        <v>480350</v>
      </c>
      <c r="S159" s="420">
        <f t="shared" si="37"/>
        <v>0</v>
      </c>
      <c r="T159" s="421">
        <f t="shared" si="61"/>
        <v>0</v>
      </c>
      <c r="U159" s="421"/>
      <c r="V159" s="421">
        <f t="shared" si="62"/>
        <v>0</v>
      </c>
    </row>
    <row r="160" spans="1:22" s="64" customFormat="1" ht="47.25" hidden="1">
      <c r="A160" s="27" t="s">
        <v>672</v>
      </c>
      <c r="B160" s="179">
        <v>3242</v>
      </c>
      <c r="C160" s="179">
        <v>1090</v>
      </c>
      <c r="D160" s="29" t="s">
        <v>498</v>
      </c>
      <c r="E160" s="200">
        <f>+F160+I160</f>
        <v>0</v>
      </c>
      <c r="F160" s="200"/>
      <c r="G160" s="200"/>
      <c r="H160" s="200"/>
      <c r="I160" s="200"/>
      <c r="J160" s="200">
        <f t="shared" si="69"/>
        <v>0</v>
      </c>
      <c r="K160" s="374"/>
      <c r="L160" s="374"/>
      <c r="M160" s="374"/>
      <c r="N160" s="200"/>
      <c r="O160" s="374"/>
      <c r="P160" s="374"/>
      <c r="Q160" s="200">
        <f>+J160+E160</f>
        <v>0</v>
      </c>
      <c r="R160" s="419">
        <f t="shared" si="66"/>
        <v>0</v>
      </c>
      <c r="S160" s="169">
        <f t="shared" si="37"/>
        <v>0</v>
      </c>
      <c r="T160" s="339">
        <f t="shared" si="61"/>
        <v>0</v>
      </c>
      <c r="U160" s="339"/>
      <c r="V160" s="339">
        <f t="shared" si="62"/>
        <v>0</v>
      </c>
    </row>
    <row r="161" spans="1:22" s="586" customFormat="1" ht="31.5">
      <c r="A161" s="577" t="s">
        <v>429</v>
      </c>
      <c r="B161" s="577" t="s">
        <v>430</v>
      </c>
      <c r="C161" s="577"/>
      <c r="D161" s="578" t="s">
        <v>236</v>
      </c>
      <c r="E161" s="579">
        <f>SUBTOTAL(9,E162:E163)</f>
        <v>8868900</v>
      </c>
      <c r="F161" s="579">
        <f t="shared" ref="F161:Q161" si="72">SUBTOTAL(9,F162:F163)</f>
        <v>8868900</v>
      </c>
      <c r="G161" s="579">
        <f t="shared" si="72"/>
        <v>0</v>
      </c>
      <c r="H161" s="579">
        <f t="shared" si="72"/>
        <v>0</v>
      </c>
      <c r="I161" s="579">
        <f t="shared" si="72"/>
        <v>0</v>
      </c>
      <c r="J161" s="579">
        <f t="shared" si="72"/>
        <v>0</v>
      </c>
      <c r="K161" s="579">
        <f t="shared" si="72"/>
        <v>0</v>
      </c>
      <c r="L161" s="579">
        <f t="shared" si="72"/>
        <v>0</v>
      </c>
      <c r="M161" s="579">
        <f t="shared" si="72"/>
        <v>0</v>
      </c>
      <c r="N161" s="579">
        <f t="shared" si="72"/>
        <v>0</v>
      </c>
      <c r="O161" s="579">
        <f t="shared" si="72"/>
        <v>0</v>
      </c>
      <c r="P161" s="579">
        <f t="shared" si="72"/>
        <v>0</v>
      </c>
      <c r="Q161" s="579">
        <f t="shared" si="72"/>
        <v>8868900</v>
      </c>
      <c r="R161" s="419">
        <f t="shared" si="66"/>
        <v>8868900</v>
      </c>
      <c r="S161" s="420">
        <f t="shared" si="37"/>
        <v>0</v>
      </c>
      <c r="T161" s="421">
        <f t="shared" si="61"/>
        <v>0</v>
      </c>
      <c r="U161" s="421"/>
      <c r="V161" s="421">
        <f t="shared" si="62"/>
        <v>0</v>
      </c>
    </row>
    <row r="162" spans="1:22" s="587" customFormat="1" ht="47.25">
      <c r="A162" s="417" t="s">
        <v>442</v>
      </c>
      <c r="B162" s="417" t="s">
        <v>443</v>
      </c>
      <c r="C162" s="417" t="s">
        <v>374</v>
      </c>
      <c r="D162" s="581" t="s">
        <v>225</v>
      </c>
      <c r="E162" s="546">
        <f>F162+I162</f>
        <v>6040600</v>
      </c>
      <c r="F162" s="546">
        <v>6040600</v>
      </c>
      <c r="G162" s="546"/>
      <c r="H162" s="546"/>
      <c r="I162" s="546"/>
      <c r="J162" s="546">
        <f>+K162+N162</f>
        <v>0</v>
      </c>
      <c r="K162" s="547"/>
      <c r="L162" s="547"/>
      <c r="M162" s="547"/>
      <c r="N162" s="546"/>
      <c r="O162" s="547"/>
      <c r="P162" s="547"/>
      <c r="Q162" s="546">
        <f>+J162+E162</f>
        <v>6040600</v>
      </c>
      <c r="R162" s="419">
        <f t="shared" si="66"/>
        <v>6040600</v>
      </c>
      <c r="S162" s="420">
        <f t="shared" si="37"/>
        <v>0</v>
      </c>
      <c r="T162" s="421">
        <f t="shared" si="61"/>
        <v>0</v>
      </c>
      <c r="U162" s="421"/>
      <c r="V162" s="421">
        <f t="shared" si="62"/>
        <v>0</v>
      </c>
    </row>
    <row r="163" spans="1:22" s="587" customFormat="1" ht="47.25">
      <c r="A163" s="417" t="s">
        <v>444</v>
      </c>
      <c r="B163" s="417" t="s">
        <v>445</v>
      </c>
      <c r="C163" s="417" t="s">
        <v>374</v>
      </c>
      <c r="D163" s="581" t="s">
        <v>473</v>
      </c>
      <c r="E163" s="546">
        <f>F163+I163</f>
        <v>2828300</v>
      </c>
      <c r="F163" s="546">
        <v>2828300</v>
      </c>
      <c r="G163" s="546"/>
      <c r="H163" s="546"/>
      <c r="I163" s="546"/>
      <c r="J163" s="546">
        <f>+K163+N163</f>
        <v>0</v>
      </c>
      <c r="K163" s="547"/>
      <c r="L163" s="547"/>
      <c r="M163" s="547"/>
      <c r="N163" s="546"/>
      <c r="O163" s="547"/>
      <c r="P163" s="547"/>
      <c r="Q163" s="546">
        <f>+J163+E163</f>
        <v>2828300</v>
      </c>
      <c r="R163" s="419">
        <f t="shared" si="66"/>
        <v>2828300</v>
      </c>
      <c r="S163" s="420">
        <f t="shared" si="37"/>
        <v>0</v>
      </c>
      <c r="T163" s="421">
        <f t="shared" si="61"/>
        <v>0</v>
      </c>
      <c r="U163" s="421"/>
      <c r="V163" s="421">
        <f t="shared" si="62"/>
        <v>0</v>
      </c>
    </row>
    <row r="164" spans="1:22" s="586" customFormat="1" ht="47.25">
      <c r="A164" s="577" t="s">
        <v>432</v>
      </c>
      <c r="B164" s="577" t="s">
        <v>372</v>
      </c>
      <c r="C164" s="577"/>
      <c r="D164" s="578" t="s">
        <v>1019</v>
      </c>
      <c r="E164" s="579">
        <f>SUBTOTAL(9,E165:E166)</f>
        <v>3582024</v>
      </c>
      <c r="F164" s="579">
        <f t="shared" ref="F164:Q164" si="73">SUBTOTAL(9,F165:F166)</f>
        <v>3582024</v>
      </c>
      <c r="G164" s="579">
        <f t="shared" si="73"/>
        <v>2117600</v>
      </c>
      <c r="H164" s="579">
        <f t="shared" si="73"/>
        <v>17000</v>
      </c>
      <c r="I164" s="579">
        <f t="shared" si="73"/>
        <v>0</v>
      </c>
      <c r="J164" s="579">
        <f t="shared" si="73"/>
        <v>11876</v>
      </c>
      <c r="K164" s="579">
        <f t="shared" si="73"/>
        <v>0</v>
      </c>
      <c r="L164" s="579">
        <f t="shared" si="73"/>
        <v>0</v>
      </c>
      <c r="M164" s="579">
        <f t="shared" si="73"/>
        <v>0</v>
      </c>
      <c r="N164" s="579">
        <f t="shared" si="73"/>
        <v>11876</v>
      </c>
      <c r="O164" s="579">
        <f t="shared" si="73"/>
        <v>11876</v>
      </c>
      <c r="P164" s="579">
        <f t="shared" si="73"/>
        <v>11876</v>
      </c>
      <c r="Q164" s="579">
        <f t="shared" si="73"/>
        <v>3593900</v>
      </c>
      <c r="R164" s="419">
        <f t="shared" si="66"/>
        <v>3593900</v>
      </c>
      <c r="S164" s="420">
        <f t="shared" ref="S164:S248" si="74">R164-Q164</f>
        <v>0</v>
      </c>
      <c r="T164" s="421">
        <f t="shared" si="61"/>
        <v>0</v>
      </c>
      <c r="U164" s="421"/>
      <c r="V164" s="421">
        <f t="shared" si="62"/>
        <v>0</v>
      </c>
    </row>
    <row r="165" spans="1:22" s="587" customFormat="1" ht="63">
      <c r="A165" s="417" t="s">
        <v>431</v>
      </c>
      <c r="B165" s="417" t="s">
        <v>446</v>
      </c>
      <c r="C165" s="417" t="s">
        <v>374</v>
      </c>
      <c r="D165" s="581" t="s">
        <v>1017</v>
      </c>
      <c r="E165" s="546">
        <f>F165+I165</f>
        <v>3292424</v>
      </c>
      <c r="F165" s="546">
        <v>3292424</v>
      </c>
      <c r="G165" s="546">
        <v>2117600</v>
      </c>
      <c r="H165" s="546">
        <v>17000</v>
      </c>
      <c r="I165" s="546"/>
      <c r="J165" s="546">
        <f>+K165+N165</f>
        <v>11876</v>
      </c>
      <c r="K165" s="547"/>
      <c r="L165" s="547"/>
      <c r="M165" s="547"/>
      <c r="N165" s="546">
        <v>11876</v>
      </c>
      <c r="O165" s="547">
        <v>11876</v>
      </c>
      <c r="P165" s="547">
        <v>11876</v>
      </c>
      <c r="Q165" s="546">
        <f>+J165+E165</f>
        <v>3304300</v>
      </c>
      <c r="R165" s="419">
        <f t="shared" si="66"/>
        <v>3304300</v>
      </c>
      <c r="S165" s="420">
        <f t="shared" si="74"/>
        <v>0</v>
      </c>
      <c r="T165" s="421">
        <f t="shared" si="61"/>
        <v>0</v>
      </c>
      <c r="U165" s="421"/>
      <c r="V165" s="421">
        <f t="shared" si="62"/>
        <v>0</v>
      </c>
    </row>
    <row r="166" spans="1:22" s="587" customFormat="1" ht="63">
      <c r="A166" s="417" t="s">
        <v>447</v>
      </c>
      <c r="B166" s="417" t="s">
        <v>373</v>
      </c>
      <c r="C166" s="417" t="s">
        <v>374</v>
      </c>
      <c r="D166" s="581" t="s">
        <v>1018</v>
      </c>
      <c r="E166" s="546">
        <f>F166+I166</f>
        <v>289600</v>
      </c>
      <c r="F166" s="546">
        <v>289600</v>
      </c>
      <c r="G166" s="546"/>
      <c r="H166" s="546"/>
      <c r="I166" s="546"/>
      <c r="J166" s="546">
        <f>+K166+N166</f>
        <v>0</v>
      </c>
      <c r="K166" s="547"/>
      <c r="L166" s="547"/>
      <c r="M166" s="547"/>
      <c r="N166" s="546"/>
      <c r="O166" s="547"/>
      <c r="P166" s="547"/>
      <c r="Q166" s="546">
        <f>+J166+E166</f>
        <v>289600</v>
      </c>
      <c r="R166" s="419">
        <f t="shared" si="66"/>
        <v>289600</v>
      </c>
      <c r="S166" s="420">
        <f t="shared" si="74"/>
        <v>0</v>
      </c>
      <c r="T166" s="421">
        <f t="shared" si="61"/>
        <v>0</v>
      </c>
      <c r="U166" s="421"/>
      <c r="V166" s="421">
        <f t="shared" si="62"/>
        <v>0</v>
      </c>
    </row>
    <row r="167" spans="1:22" s="586" customFormat="1" ht="31.5">
      <c r="A167" s="577" t="s">
        <v>433</v>
      </c>
      <c r="B167" s="577" t="s">
        <v>434</v>
      </c>
      <c r="C167" s="577"/>
      <c r="D167" s="578" t="s">
        <v>260</v>
      </c>
      <c r="E167" s="579">
        <f t="shared" ref="E167:Q167" si="75">SUBTOTAL(9,E168:E170)</f>
        <v>38692425</v>
      </c>
      <c r="F167" s="579">
        <f>SUBTOTAL(9,F168:F170)</f>
        <v>38692425</v>
      </c>
      <c r="G167" s="579">
        <f>SUBTOTAL(9,G168:G170)</f>
        <v>17699000</v>
      </c>
      <c r="H167" s="579">
        <f t="shared" si="75"/>
        <v>3380900</v>
      </c>
      <c r="I167" s="579">
        <f t="shared" si="75"/>
        <v>0</v>
      </c>
      <c r="J167" s="579">
        <f t="shared" si="75"/>
        <v>6315998</v>
      </c>
      <c r="K167" s="579">
        <f t="shared" si="75"/>
        <v>1983998</v>
      </c>
      <c r="L167" s="579">
        <f t="shared" si="75"/>
        <v>750100</v>
      </c>
      <c r="M167" s="579">
        <f t="shared" si="75"/>
        <v>82300</v>
      </c>
      <c r="N167" s="579">
        <f t="shared" si="75"/>
        <v>4332000</v>
      </c>
      <c r="O167" s="579">
        <f t="shared" si="75"/>
        <v>4307000</v>
      </c>
      <c r="P167" s="579">
        <f t="shared" si="75"/>
        <v>4307000</v>
      </c>
      <c r="Q167" s="579">
        <f t="shared" si="75"/>
        <v>45008423</v>
      </c>
      <c r="R167" s="419">
        <f t="shared" si="66"/>
        <v>45008423</v>
      </c>
      <c r="S167" s="420">
        <f t="shared" si="74"/>
        <v>0</v>
      </c>
      <c r="T167" s="421">
        <f t="shared" si="61"/>
        <v>0</v>
      </c>
      <c r="U167" s="421"/>
      <c r="V167" s="421">
        <f t="shared" si="62"/>
        <v>-25000</v>
      </c>
    </row>
    <row r="168" spans="1:22" s="587" customFormat="1" ht="63">
      <c r="A168" s="417" t="s">
        <v>448</v>
      </c>
      <c r="B168" s="417" t="s">
        <v>449</v>
      </c>
      <c r="C168" s="417" t="s">
        <v>374</v>
      </c>
      <c r="D168" s="581" t="s">
        <v>63</v>
      </c>
      <c r="E168" s="546">
        <f>F168+I168</f>
        <v>24651425</v>
      </c>
      <c r="F168" s="546">
        <v>24651425</v>
      </c>
      <c r="G168" s="546">
        <v>13752900</v>
      </c>
      <c r="H168" s="546">
        <v>3214800</v>
      </c>
      <c r="I168" s="546"/>
      <c r="J168" s="546">
        <f>+K168+N168</f>
        <v>3662300</v>
      </c>
      <c r="K168" s="547">
        <v>1979900</v>
      </c>
      <c r="L168" s="547">
        <v>750100</v>
      </c>
      <c r="M168" s="547">
        <v>82300</v>
      </c>
      <c r="N168" s="546">
        <v>1682400</v>
      </c>
      <c r="O168" s="547">
        <v>1657400</v>
      </c>
      <c r="P168" s="547">
        <v>1657400</v>
      </c>
      <c r="Q168" s="546">
        <f>+J168+E168</f>
        <v>28313725</v>
      </c>
      <c r="R168" s="419">
        <f t="shared" si="66"/>
        <v>28313725</v>
      </c>
      <c r="S168" s="420">
        <f t="shared" si="74"/>
        <v>0</v>
      </c>
      <c r="T168" s="421">
        <f t="shared" si="61"/>
        <v>0</v>
      </c>
      <c r="U168" s="421"/>
      <c r="V168" s="421">
        <f t="shared" si="62"/>
        <v>-25000</v>
      </c>
    </row>
    <row r="169" spans="1:22" s="587" customFormat="1" ht="63">
      <c r="A169" s="417" t="s">
        <v>450</v>
      </c>
      <c r="B169" s="417" t="s">
        <v>451</v>
      </c>
      <c r="C169" s="417" t="s">
        <v>374</v>
      </c>
      <c r="D169" s="581" t="s">
        <v>344</v>
      </c>
      <c r="E169" s="546">
        <f>F169+I169</f>
        <v>3764300</v>
      </c>
      <c r="F169" s="546">
        <v>3764300</v>
      </c>
      <c r="G169" s="546"/>
      <c r="H169" s="546"/>
      <c r="I169" s="546"/>
      <c r="J169" s="546">
        <f>+K169+N169</f>
        <v>82000</v>
      </c>
      <c r="K169" s="547"/>
      <c r="L169" s="547"/>
      <c r="M169" s="547"/>
      <c r="N169" s="546">
        <v>82000</v>
      </c>
      <c r="O169" s="547">
        <v>82000</v>
      </c>
      <c r="P169" s="547">
        <v>82000</v>
      </c>
      <c r="Q169" s="546">
        <f>+J169+E169</f>
        <v>3846300</v>
      </c>
      <c r="R169" s="419">
        <f t="shared" si="66"/>
        <v>3846300</v>
      </c>
      <c r="S169" s="420">
        <f t="shared" si="74"/>
        <v>0</v>
      </c>
      <c r="T169" s="421">
        <f t="shared" si="61"/>
        <v>0</v>
      </c>
      <c r="U169" s="421"/>
      <c r="V169" s="421">
        <f t="shared" si="62"/>
        <v>0</v>
      </c>
    </row>
    <row r="170" spans="1:22" s="587" customFormat="1" ht="47.25">
      <c r="A170" s="417" t="s">
        <v>297</v>
      </c>
      <c r="B170" s="417" t="s">
        <v>298</v>
      </c>
      <c r="C170" s="417" t="s">
        <v>374</v>
      </c>
      <c r="D170" s="581" t="s">
        <v>673</v>
      </c>
      <c r="E170" s="546">
        <f>F170+I170</f>
        <v>10276700</v>
      </c>
      <c r="F170" s="546">
        <v>10276700</v>
      </c>
      <c r="G170" s="546">
        <v>3946100</v>
      </c>
      <c r="H170" s="546">
        <f>370000-203900</f>
        <v>166100</v>
      </c>
      <c r="I170" s="546"/>
      <c r="J170" s="546">
        <f>+K170+N170</f>
        <v>2571698</v>
      </c>
      <c r="K170" s="547">
        <v>4098</v>
      </c>
      <c r="L170" s="547"/>
      <c r="M170" s="547"/>
      <c r="N170" s="546">
        <v>2567600</v>
      </c>
      <c r="O170" s="547">
        <v>2567600</v>
      </c>
      <c r="P170" s="547">
        <v>2567600</v>
      </c>
      <c r="Q170" s="546">
        <f>+J170+E170</f>
        <v>12848398</v>
      </c>
      <c r="R170" s="419">
        <f t="shared" si="66"/>
        <v>12848398</v>
      </c>
      <c r="S170" s="420">
        <f t="shared" si="74"/>
        <v>0</v>
      </c>
      <c r="T170" s="421">
        <f t="shared" si="61"/>
        <v>0</v>
      </c>
      <c r="U170" s="421"/>
      <c r="V170" s="421">
        <f t="shared" si="62"/>
        <v>0</v>
      </c>
    </row>
    <row r="171" spans="1:22" s="586" customFormat="1" ht="31.5">
      <c r="A171" s="577" t="s">
        <v>261</v>
      </c>
      <c r="B171" s="577" t="s">
        <v>262</v>
      </c>
      <c r="C171" s="577"/>
      <c r="D171" s="578" t="s">
        <v>263</v>
      </c>
      <c r="E171" s="579">
        <f>SUBTOTAL(9,E172:E174)</f>
        <v>2290700</v>
      </c>
      <c r="F171" s="579">
        <f>SUBTOTAL(9,F172:F174)</f>
        <v>2290700</v>
      </c>
      <c r="G171" s="579">
        <f t="shared" ref="G171:Q171" si="76">SUBTOTAL(9,G172:G174)</f>
        <v>0</v>
      </c>
      <c r="H171" s="579">
        <f t="shared" si="76"/>
        <v>0</v>
      </c>
      <c r="I171" s="579">
        <f t="shared" si="76"/>
        <v>0</v>
      </c>
      <c r="J171" s="579">
        <f t="shared" si="76"/>
        <v>0</v>
      </c>
      <c r="K171" s="579">
        <f t="shared" si="76"/>
        <v>0</v>
      </c>
      <c r="L171" s="579">
        <f t="shared" si="76"/>
        <v>0</v>
      </c>
      <c r="M171" s="579">
        <f t="shared" si="76"/>
        <v>0</v>
      </c>
      <c r="N171" s="579">
        <f t="shared" si="76"/>
        <v>0</v>
      </c>
      <c r="O171" s="579">
        <f t="shared" si="76"/>
        <v>0</v>
      </c>
      <c r="P171" s="579">
        <f t="shared" si="76"/>
        <v>0</v>
      </c>
      <c r="Q171" s="579">
        <f t="shared" si="76"/>
        <v>2290700</v>
      </c>
      <c r="R171" s="419">
        <f t="shared" si="66"/>
        <v>2290700</v>
      </c>
      <c r="S171" s="420">
        <f t="shared" si="74"/>
        <v>0</v>
      </c>
      <c r="T171" s="421">
        <f t="shared" si="61"/>
        <v>0</v>
      </c>
      <c r="U171" s="421"/>
      <c r="V171" s="421">
        <f t="shared" si="62"/>
        <v>0</v>
      </c>
    </row>
    <row r="172" spans="1:22" s="587" customFormat="1" ht="110.25">
      <c r="A172" s="626" t="s">
        <v>264</v>
      </c>
      <c r="B172" s="626" t="s">
        <v>265</v>
      </c>
      <c r="C172" s="626" t="s">
        <v>374</v>
      </c>
      <c r="D172" s="627" t="s">
        <v>266</v>
      </c>
      <c r="E172" s="546">
        <f>F172+I172</f>
        <v>653900</v>
      </c>
      <c r="F172" s="546">
        <v>653900</v>
      </c>
      <c r="G172" s="546"/>
      <c r="H172" s="546"/>
      <c r="I172" s="546"/>
      <c r="J172" s="546">
        <f>+K172+N172</f>
        <v>0</v>
      </c>
      <c r="K172" s="547"/>
      <c r="L172" s="547"/>
      <c r="M172" s="547"/>
      <c r="N172" s="546"/>
      <c r="O172" s="547"/>
      <c r="P172" s="547"/>
      <c r="Q172" s="546">
        <f>+J172+E172</f>
        <v>653900</v>
      </c>
      <c r="R172" s="419">
        <f t="shared" si="66"/>
        <v>653900</v>
      </c>
      <c r="S172" s="420">
        <f t="shared" si="74"/>
        <v>0</v>
      </c>
      <c r="T172" s="421">
        <f t="shared" si="61"/>
        <v>0</v>
      </c>
      <c r="U172" s="421"/>
      <c r="V172" s="421">
        <f t="shared" si="62"/>
        <v>0</v>
      </c>
    </row>
    <row r="173" spans="1:22" s="587" customFormat="1" ht="110.25">
      <c r="A173" s="626" t="s">
        <v>267</v>
      </c>
      <c r="B173" s="626" t="s">
        <v>268</v>
      </c>
      <c r="C173" s="626" t="s">
        <v>374</v>
      </c>
      <c r="D173" s="627" t="s">
        <v>73</v>
      </c>
      <c r="E173" s="546">
        <f>F173+I173</f>
        <v>219700</v>
      </c>
      <c r="F173" s="546">
        <v>219700</v>
      </c>
      <c r="G173" s="546"/>
      <c r="H173" s="546"/>
      <c r="I173" s="546"/>
      <c r="J173" s="546">
        <f>+K173+N173</f>
        <v>0</v>
      </c>
      <c r="K173" s="547"/>
      <c r="L173" s="547"/>
      <c r="M173" s="547"/>
      <c r="N173" s="546"/>
      <c r="O173" s="547"/>
      <c r="P173" s="547"/>
      <c r="Q173" s="546">
        <f>+J173+E173</f>
        <v>219700</v>
      </c>
      <c r="R173" s="419">
        <f t="shared" si="66"/>
        <v>219700</v>
      </c>
      <c r="S173" s="420">
        <f t="shared" si="74"/>
        <v>0</v>
      </c>
      <c r="T173" s="421">
        <f t="shared" si="61"/>
        <v>0</v>
      </c>
      <c r="U173" s="421"/>
      <c r="V173" s="421">
        <f t="shared" si="62"/>
        <v>0</v>
      </c>
    </row>
    <row r="174" spans="1:22" s="587" customFormat="1" ht="78.75">
      <c r="A174" s="417" t="s">
        <v>74</v>
      </c>
      <c r="B174" s="417" t="s">
        <v>75</v>
      </c>
      <c r="C174" s="417" t="s">
        <v>374</v>
      </c>
      <c r="D174" s="581" t="s">
        <v>76</v>
      </c>
      <c r="E174" s="546">
        <f>F174+I174</f>
        <v>1417100</v>
      </c>
      <c r="F174" s="546">
        <v>1417100</v>
      </c>
      <c r="G174" s="546"/>
      <c r="H174" s="546"/>
      <c r="I174" s="546"/>
      <c r="J174" s="546">
        <f>+K174+N174</f>
        <v>0</v>
      </c>
      <c r="K174" s="547"/>
      <c r="L174" s="547"/>
      <c r="M174" s="547"/>
      <c r="N174" s="546"/>
      <c r="O174" s="547"/>
      <c r="P174" s="547"/>
      <c r="Q174" s="546">
        <f>+J174+E174</f>
        <v>1417100</v>
      </c>
      <c r="R174" s="419">
        <f t="shared" si="66"/>
        <v>1417100</v>
      </c>
      <c r="S174" s="420">
        <f t="shared" si="74"/>
        <v>0</v>
      </c>
      <c r="T174" s="421">
        <f t="shared" si="61"/>
        <v>0</v>
      </c>
      <c r="U174" s="421"/>
      <c r="V174" s="421">
        <f t="shared" si="62"/>
        <v>0</v>
      </c>
    </row>
    <row r="175" spans="1:22" s="586" customFormat="1" ht="31.5">
      <c r="A175" s="577" t="s">
        <v>299</v>
      </c>
      <c r="B175" s="577" t="s">
        <v>300</v>
      </c>
      <c r="C175" s="577"/>
      <c r="D175" s="578" t="s">
        <v>77</v>
      </c>
      <c r="E175" s="579">
        <f>E176+E177</f>
        <v>5507150</v>
      </c>
      <c r="F175" s="579">
        <f t="shared" ref="F175:Q175" si="77">F176+F177</f>
        <v>5507150</v>
      </c>
      <c r="G175" s="579">
        <f t="shared" si="77"/>
        <v>1964050</v>
      </c>
      <c r="H175" s="579">
        <f t="shared" si="77"/>
        <v>31100</v>
      </c>
      <c r="I175" s="579">
        <f t="shared" si="77"/>
        <v>0</v>
      </c>
      <c r="J175" s="579">
        <f t="shared" si="77"/>
        <v>0</v>
      </c>
      <c r="K175" s="579">
        <f t="shared" si="77"/>
        <v>0</v>
      </c>
      <c r="L175" s="579">
        <f t="shared" si="77"/>
        <v>0</v>
      </c>
      <c r="M175" s="579">
        <f t="shared" si="77"/>
        <v>0</v>
      </c>
      <c r="N175" s="579">
        <f t="shared" si="77"/>
        <v>0</v>
      </c>
      <c r="O175" s="579">
        <f t="shared" si="77"/>
        <v>0</v>
      </c>
      <c r="P175" s="579">
        <f t="shared" si="77"/>
        <v>0</v>
      </c>
      <c r="Q175" s="579">
        <f t="shared" si="77"/>
        <v>5507150</v>
      </c>
      <c r="R175" s="419">
        <f t="shared" si="66"/>
        <v>5507150</v>
      </c>
      <c r="S175" s="420">
        <f t="shared" si="74"/>
        <v>0</v>
      </c>
      <c r="T175" s="421">
        <f t="shared" si="61"/>
        <v>0</v>
      </c>
      <c r="U175" s="421"/>
      <c r="V175" s="421">
        <f t="shared" si="62"/>
        <v>0</v>
      </c>
    </row>
    <row r="176" spans="1:22" s="587" customFormat="1" ht="94.5">
      <c r="A176" s="626" t="s">
        <v>78</v>
      </c>
      <c r="B176" s="626" t="s">
        <v>79</v>
      </c>
      <c r="C176" s="626" t="s">
        <v>374</v>
      </c>
      <c r="D176" s="627" t="s">
        <v>405</v>
      </c>
      <c r="E176" s="546">
        <f>F176+I176</f>
        <v>961700</v>
      </c>
      <c r="F176" s="546">
        <v>961700</v>
      </c>
      <c r="G176" s="546">
        <v>429000</v>
      </c>
      <c r="H176" s="546">
        <v>24700</v>
      </c>
      <c r="I176" s="546"/>
      <c r="J176" s="546">
        <f>+K176+N176</f>
        <v>0</v>
      </c>
      <c r="K176" s="547"/>
      <c r="L176" s="547"/>
      <c r="M176" s="547"/>
      <c r="N176" s="546"/>
      <c r="O176" s="547"/>
      <c r="P176" s="547"/>
      <c r="Q176" s="546">
        <f>+J176+E176</f>
        <v>961700</v>
      </c>
      <c r="R176" s="419">
        <f t="shared" si="66"/>
        <v>961700</v>
      </c>
      <c r="S176" s="420">
        <f t="shared" si="74"/>
        <v>0</v>
      </c>
      <c r="T176" s="421">
        <f t="shared" si="61"/>
        <v>0</v>
      </c>
      <c r="U176" s="421"/>
      <c r="V176" s="421">
        <f t="shared" si="62"/>
        <v>0</v>
      </c>
    </row>
    <row r="177" spans="1:22" s="587" customFormat="1" ht="63">
      <c r="A177" s="626" t="s">
        <v>408</v>
      </c>
      <c r="B177" s="626" t="s">
        <v>407</v>
      </c>
      <c r="C177" s="626" t="s">
        <v>374</v>
      </c>
      <c r="D177" s="627" t="s">
        <v>406</v>
      </c>
      <c r="E177" s="546">
        <f>F177+I177</f>
        <v>4545450</v>
      </c>
      <c r="F177" s="546">
        <v>4545450</v>
      </c>
      <c r="G177" s="546">
        <v>1535050</v>
      </c>
      <c r="H177" s="546">
        <v>6400</v>
      </c>
      <c r="I177" s="546"/>
      <c r="J177" s="546">
        <f>+K177+N177</f>
        <v>0</v>
      </c>
      <c r="K177" s="547"/>
      <c r="L177" s="547"/>
      <c r="M177" s="547"/>
      <c r="N177" s="546"/>
      <c r="O177" s="547"/>
      <c r="P177" s="547"/>
      <c r="Q177" s="546">
        <f>+J177+E177</f>
        <v>4545450</v>
      </c>
      <c r="R177" s="419">
        <f t="shared" si="66"/>
        <v>4545450</v>
      </c>
      <c r="S177" s="420">
        <f t="shared" si="74"/>
        <v>0</v>
      </c>
      <c r="T177" s="421">
        <f t="shared" si="61"/>
        <v>0</v>
      </c>
      <c r="U177" s="421"/>
      <c r="V177" s="421">
        <f t="shared" si="62"/>
        <v>0</v>
      </c>
    </row>
    <row r="178" spans="1:22" s="586" customFormat="1" ht="31.15" customHeight="1">
      <c r="A178" s="577" t="s">
        <v>959</v>
      </c>
      <c r="B178" s="577" t="s">
        <v>960</v>
      </c>
      <c r="C178" s="577"/>
      <c r="D178" s="578" t="s">
        <v>961</v>
      </c>
      <c r="E178" s="579">
        <f>E179</f>
        <v>44800</v>
      </c>
      <c r="F178" s="579">
        <f t="shared" ref="F178:Q180" si="78">F179</f>
        <v>44800</v>
      </c>
      <c r="G178" s="579">
        <f t="shared" si="78"/>
        <v>0</v>
      </c>
      <c r="H178" s="579">
        <f t="shared" si="78"/>
        <v>0</v>
      </c>
      <c r="I178" s="579">
        <f t="shared" si="78"/>
        <v>0</v>
      </c>
      <c r="J178" s="579">
        <f t="shared" si="78"/>
        <v>32457</v>
      </c>
      <c r="K178" s="579">
        <f t="shared" si="78"/>
        <v>32457</v>
      </c>
      <c r="L178" s="579">
        <f t="shared" si="78"/>
        <v>0</v>
      </c>
      <c r="M178" s="579">
        <f t="shared" si="78"/>
        <v>0</v>
      </c>
      <c r="N178" s="579">
        <f t="shared" si="78"/>
        <v>0</v>
      </c>
      <c r="O178" s="579">
        <f t="shared" si="78"/>
        <v>0</v>
      </c>
      <c r="P178" s="579">
        <f t="shared" si="78"/>
        <v>0</v>
      </c>
      <c r="Q178" s="579">
        <f t="shared" si="78"/>
        <v>77257</v>
      </c>
      <c r="R178" s="419">
        <f t="shared" si="66"/>
        <v>77257</v>
      </c>
      <c r="S178" s="420">
        <f t="shared" si="74"/>
        <v>0</v>
      </c>
      <c r="T178" s="421">
        <f t="shared" si="61"/>
        <v>0</v>
      </c>
      <c r="U178" s="421"/>
      <c r="V178" s="421">
        <f t="shared" si="62"/>
        <v>0</v>
      </c>
    </row>
    <row r="179" spans="1:22" s="587" customFormat="1" ht="94.5">
      <c r="A179" s="417" t="s">
        <v>680</v>
      </c>
      <c r="B179" s="417" t="s">
        <v>679</v>
      </c>
      <c r="C179" s="417" t="s">
        <v>681</v>
      </c>
      <c r="D179" s="581" t="s">
        <v>976</v>
      </c>
      <c r="E179" s="546">
        <f>F179+I179</f>
        <v>44800</v>
      </c>
      <c r="F179" s="546">
        <v>44800</v>
      </c>
      <c r="G179" s="546"/>
      <c r="H179" s="546"/>
      <c r="I179" s="546"/>
      <c r="J179" s="546">
        <f>+K179+N179</f>
        <v>32457</v>
      </c>
      <c r="K179" s="547">
        <f>15500+16957</f>
        <v>32457</v>
      </c>
      <c r="L179" s="547"/>
      <c r="M179" s="547"/>
      <c r="N179" s="546"/>
      <c r="O179" s="547"/>
      <c r="P179" s="547"/>
      <c r="Q179" s="546">
        <f>+J179+E179</f>
        <v>77257</v>
      </c>
      <c r="R179" s="419">
        <f t="shared" si="66"/>
        <v>77257</v>
      </c>
      <c r="S179" s="420">
        <f t="shared" si="74"/>
        <v>0</v>
      </c>
      <c r="T179" s="421">
        <f t="shared" si="61"/>
        <v>0</v>
      </c>
      <c r="U179" s="421"/>
      <c r="V179" s="421">
        <f t="shared" si="62"/>
        <v>0</v>
      </c>
    </row>
    <row r="180" spans="1:22" s="359" customFormat="1" ht="60" hidden="1">
      <c r="A180" s="165" t="s">
        <v>2539</v>
      </c>
      <c r="B180" s="165" t="s">
        <v>708</v>
      </c>
      <c r="C180" s="165"/>
      <c r="D180" s="162" t="s">
        <v>2541</v>
      </c>
      <c r="E180" s="309">
        <f>E181</f>
        <v>0</v>
      </c>
      <c r="F180" s="309">
        <f t="shared" si="78"/>
        <v>0</v>
      </c>
      <c r="G180" s="309">
        <f t="shared" si="78"/>
        <v>0</v>
      </c>
      <c r="H180" s="309">
        <f t="shared" si="78"/>
        <v>0</v>
      </c>
      <c r="I180" s="309">
        <f t="shared" si="78"/>
        <v>0</v>
      </c>
      <c r="J180" s="309">
        <f t="shared" si="78"/>
        <v>0</v>
      </c>
      <c r="K180" s="309">
        <f t="shared" si="78"/>
        <v>0</v>
      </c>
      <c r="L180" s="309">
        <f t="shared" si="78"/>
        <v>0</v>
      </c>
      <c r="M180" s="309">
        <f t="shared" si="78"/>
        <v>0</v>
      </c>
      <c r="N180" s="309">
        <f t="shared" si="78"/>
        <v>0</v>
      </c>
      <c r="O180" s="309">
        <f t="shared" si="78"/>
        <v>0</v>
      </c>
      <c r="P180" s="309">
        <f t="shared" si="78"/>
        <v>0</v>
      </c>
      <c r="Q180" s="309">
        <f t="shared" si="78"/>
        <v>0</v>
      </c>
      <c r="R180" s="419">
        <f t="shared" si="66"/>
        <v>0</v>
      </c>
      <c r="S180" s="169"/>
      <c r="T180" s="339">
        <f t="shared" si="61"/>
        <v>0</v>
      </c>
      <c r="U180" s="339"/>
      <c r="V180" s="339">
        <f t="shared" si="62"/>
        <v>0</v>
      </c>
    </row>
    <row r="181" spans="1:22" s="587" customFormat="1" ht="60" hidden="1">
      <c r="A181" s="417" t="s">
        <v>2540</v>
      </c>
      <c r="B181" s="417" t="s">
        <v>923</v>
      </c>
      <c r="C181" s="417" t="s">
        <v>654</v>
      </c>
      <c r="D181" s="581" t="s">
        <v>3186</v>
      </c>
      <c r="E181" s="546">
        <f>F181+I181</f>
        <v>0</v>
      </c>
      <c r="F181" s="546"/>
      <c r="G181" s="546"/>
      <c r="H181" s="546"/>
      <c r="I181" s="546"/>
      <c r="J181" s="546">
        <f>+K181+N181</f>
        <v>0</v>
      </c>
      <c r="K181" s="547"/>
      <c r="L181" s="547"/>
      <c r="M181" s="547"/>
      <c r="N181" s="546"/>
      <c r="O181" s="547"/>
      <c r="P181" s="547"/>
      <c r="Q181" s="546">
        <f>+J181+E181</f>
        <v>0</v>
      </c>
      <c r="R181" s="419">
        <f t="shared" si="66"/>
        <v>0</v>
      </c>
      <c r="S181" s="420"/>
      <c r="T181" s="421">
        <f t="shared" si="61"/>
        <v>0</v>
      </c>
      <c r="U181" s="421"/>
      <c r="V181" s="421">
        <f t="shared" si="62"/>
        <v>0</v>
      </c>
    </row>
    <row r="182" spans="1:22" ht="47.25" hidden="1">
      <c r="A182" s="423" t="s">
        <v>1135</v>
      </c>
      <c r="B182" s="423" t="s">
        <v>925</v>
      </c>
      <c r="C182" s="423" t="s">
        <v>358</v>
      </c>
      <c r="D182" s="584" t="s">
        <v>926</v>
      </c>
      <c r="E182" s="546">
        <f>F182+I182</f>
        <v>0</v>
      </c>
      <c r="F182" s="549"/>
      <c r="G182" s="549"/>
      <c r="H182" s="549"/>
      <c r="I182" s="549"/>
      <c r="J182" s="546">
        <f>+K182+N182</f>
        <v>0</v>
      </c>
      <c r="K182" s="550"/>
      <c r="L182" s="550"/>
      <c r="M182" s="550"/>
      <c r="N182" s="549"/>
      <c r="O182" s="550"/>
      <c r="P182" s="550"/>
      <c r="Q182" s="546">
        <f>+J182+E182</f>
        <v>0</v>
      </c>
      <c r="R182" s="419">
        <f t="shared" si="66"/>
        <v>0</v>
      </c>
      <c r="S182" s="420"/>
      <c r="T182" s="421">
        <f t="shared" si="61"/>
        <v>0</v>
      </c>
      <c r="U182" s="421"/>
      <c r="V182" s="421">
        <f t="shared" si="62"/>
        <v>0</v>
      </c>
    </row>
    <row r="183" spans="1:22" ht="78.75">
      <c r="A183" s="423" t="s">
        <v>1047</v>
      </c>
      <c r="B183" s="423" t="s">
        <v>1048</v>
      </c>
      <c r="C183" s="423" t="s">
        <v>13</v>
      </c>
      <c r="D183" s="584" t="s">
        <v>1049</v>
      </c>
      <c r="E183" s="546">
        <f>F183+I183</f>
        <v>0</v>
      </c>
      <c r="F183" s="549"/>
      <c r="G183" s="549"/>
      <c r="H183" s="549"/>
      <c r="I183" s="549"/>
      <c r="J183" s="546">
        <f>+K183+N183</f>
        <v>25728.6</v>
      </c>
      <c r="K183" s="550">
        <v>25728.6</v>
      </c>
      <c r="L183" s="550"/>
      <c r="M183" s="550"/>
      <c r="N183" s="549"/>
      <c r="O183" s="550"/>
      <c r="P183" s="550"/>
      <c r="Q183" s="546">
        <f>+J183+E183</f>
        <v>25728.6</v>
      </c>
      <c r="R183" s="419">
        <f t="shared" si="66"/>
        <v>25728.6</v>
      </c>
      <c r="S183" s="628"/>
      <c r="T183" s="421">
        <f t="shared" si="61"/>
        <v>0</v>
      </c>
      <c r="U183" s="421"/>
      <c r="V183" s="421">
        <f t="shared" si="62"/>
        <v>0</v>
      </c>
    </row>
    <row r="184" spans="1:22" s="600" customFormat="1" ht="63">
      <c r="A184" s="598" t="s">
        <v>682</v>
      </c>
      <c r="B184" s="598"/>
      <c r="C184" s="598"/>
      <c r="D184" s="589" t="s">
        <v>1709</v>
      </c>
      <c r="E184" s="590">
        <f>E224+E214+E190+E191+E196+E188+E203+E206+E198+E199+E200+E186+E213+E209+E202+E189+E226+E227+E229+E228+E204+E193+E192+E211+E216+E220+E218+E222+E223+E207+E221+E210+E194+E217+E195+E187+E215</f>
        <v>6451445</v>
      </c>
      <c r="F184" s="590">
        <f t="shared" ref="F184:Q184" si="79">F224+F214+F190+F191+F196+F188+F203+F206+F198+F199+F200+F186+F213+F209+F202+F189+F226+F227+F229+F228+F204+F193+F192+F211+F216+F220+F218+F222+F223+F207+F221+F210+F194+F217+F195+F187+F215</f>
        <v>6451445</v>
      </c>
      <c r="G184" s="590">
        <f t="shared" si="79"/>
        <v>0</v>
      </c>
      <c r="H184" s="590">
        <f t="shared" si="79"/>
        <v>0</v>
      </c>
      <c r="I184" s="590">
        <f t="shared" si="79"/>
        <v>0</v>
      </c>
      <c r="J184" s="590">
        <f t="shared" si="79"/>
        <v>315757550.02999997</v>
      </c>
      <c r="K184" s="590">
        <f t="shared" si="79"/>
        <v>0</v>
      </c>
      <c r="L184" s="590">
        <f t="shared" si="79"/>
        <v>0</v>
      </c>
      <c r="M184" s="590">
        <f t="shared" si="79"/>
        <v>0</v>
      </c>
      <c r="N184" s="590">
        <f t="shared" si="79"/>
        <v>315757550.02999997</v>
      </c>
      <c r="O184" s="590">
        <f t="shared" si="79"/>
        <v>304234050.02999997</v>
      </c>
      <c r="P184" s="590">
        <f t="shared" si="79"/>
        <v>187847328</v>
      </c>
      <c r="Q184" s="590">
        <f t="shared" si="79"/>
        <v>322208995.02999997</v>
      </c>
      <c r="R184" s="419">
        <f t="shared" si="66"/>
        <v>322208995.02999997</v>
      </c>
      <c r="S184" s="420"/>
      <c r="T184" s="421">
        <f t="shared" si="61"/>
        <v>-116386722.02999997</v>
      </c>
      <c r="U184" s="421"/>
      <c r="V184" s="421">
        <f t="shared" si="62"/>
        <v>-11523500</v>
      </c>
    </row>
    <row r="185" spans="1:22" s="600" customFormat="1" ht="63">
      <c r="A185" s="598" t="s">
        <v>683</v>
      </c>
      <c r="B185" s="598"/>
      <c r="C185" s="598"/>
      <c r="D185" s="589" t="s">
        <v>1709</v>
      </c>
      <c r="E185" s="590">
        <f t="shared" ref="E185:Q185" si="80">E218+E224+E190+E191+E196+E188+E203+E205+E197+E186+E212+E208+E201+E189+E225+E229+E204+E193+E192+E211+E219+E222+E223+E217+E194+E195+E187</f>
        <v>6451445</v>
      </c>
      <c r="F185" s="590">
        <f t="shared" si="80"/>
        <v>6451445</v>
      </c>
      <c r="G185" s="590">
        <f t="shared" si="80"/>
        <v>0</v>
      </c>
      <c r="H185" s="590">
        <f t="shared" si="80"/>
        <v>0</v>
      </c>
      <c r="I185" s="590">
        <f t="shared" si="80"/>
        <v>0</v>
      </c>
      <c r="J185" s="590">
        <f t="shared" si="80"/>
        <v>315757550.02999997</v>
      </c>
      <c r="K185" s="590">
        <f t="shared" si="80"/>
        <v>0</v>
      </c>
      <c r="L185" s="590">
        <f t="shared" si="80"/>
        <v>0</v>
      </c>
      <c r="M185" s="590">
        <f t="shared" si="80"/>
        <v>0</v>
      </c>
      <c r="N185" s="590">
        <f t="shared" si="80"/>
        <v>315757550.02999997</v>
      </c>
      <c r="O185" s="590">
        <f t="shared" si="80"/>
        <v>304234050.02999997</v>
      </c>
      <c r="P185" s="590">
        <f t="shared" si="80"/>
        <v>187847328</v>
      </c>
      <c r="Q185" s="590">
        <f t="shared" si="80"/>
        <v>322208995.02999997</v>
      </c>
      <c r="R185" s="419">
        <f t="shared" si="66"/>
        <v>322208995.02999997</v>
      </c>
      <c r="S185" s="420">
        <f t="shared" si="74"/>
        <v>0</v>
      </c>
      <c r="T185" s="421">
        <f t="shared" si="61"/>
        <v>-116386722.02999997</v>
      </c>
      <c r="U185" s="421"/>
      <c r="V185" s="421">
        <f t="shared" si="62"/>
        <v>-11523500</v>
      </c>
    </row>
    <row r="186" spans="1:22" ht="126">
      <c r="A186" s="423" t="s">
        <v>684</v>
      </c>
      <c r="B186" s="423" t="s">
        <v>18</v>
      </c>
      <c r="C186" s="423" t="s">
        <v>15</v>
      </c>
      <c r="D186" s="584" t="s">
        <v>19</v>
      </c>
      <c r="E186" s="549">
        <f t="shared" ref="E186:E196" si="81">F186+I186</f>
        <v>0</v>
      </c>
      <c r="F186" s="549"/>
      <c r="G186" s="549"/>
      <c r="H186" s="549"/>
      <c r="I186" s="549"/>
      <c r="J186" s="549">
        <f t="shared" ref="J186:J196" si="82">+K186+N186</f>
        <v>554367</v>
      </c>
      <c r="K186" s="549"/>
      <c r="L186" s="549"/>
      <c r="M186" s="549"/>
      <c r="N186" s="551">
        <v>554367</v>
      </c>
      <c r="O186" s="549">
        <v>554367</v>
      </c>
      <c r="P186" s="549">
        <v>554367</v>
      </c>
      <c r="Q186" s="549">
        <f t="shared" ref="Q186:Q196" si="83">+J186+E186</f>
        <v>554367</v>
      </c>
      <c r="R186" s="419">
        <f t="shared" si="66"/>
        <v>554367</v>
      </c>
      <c r="S186" s="420">
        <f t="shared" si="74"/>
        <v>0</v>
      </c>
      <c r="T186" s="421">
        <f t="shared" si="61"/>
        <v>0</v>
      </c>
      <c r="U186" s="421"/>
      <c r="V186" s="421">
        <f t="shared" si="62"/>
        <v>0</v>
      </c>
    </row>
    <row r="187" spans="1:22" ht="173.25">
      <c r="A187" s="423" t="s">
        <v>2430</v>
      </c>
      <c r="B187" s="423" t="s">
        <v>20</v>
      </c>
      <c r="C187" s="423" t="s">
        <v>15</v>
      </c>
      <c r="D187" s="584" t="s">
        <v>464</v>
      </c>
      <c r="E187" s="549">
        <f t="shared" si="81"/>
        <v>0</v>
      </c>
      <c r="F187" s="549"/>
      <c r="G187" s="549"/>
      <c r="H187" s="549"/>
      <c r="I187" s="549"/>
      <c r="J187" s="549">
        <f t="shared" si="82"/>
        <v>4000000</v>
      </c>
      <c r="K187" s="549"/>
      <c r="L187" s="549"/>
      <c r="M187" s="549"/>
      <c r="N187" s="549">
        <v>4000000</v>
      </c>
      <c r="O187" s="549">
        <v>4000000</v>
      </c>
      <c r="P187" s="549">
        <v>4000000</v>
      </c>
      <c r="Q187" s="549">
        <f t="shared" si="83"/>
        <v>4000000</v>
      </c>
      <c r="R187" s="419">
        <f t="shared" si="66"/>
        <v>4000000</v>
      </c>
      <c r="S187" s="420"/>
      <c r="T187" s="421">
        <f t="shared" si="61"/>
        <v>0</v>
      </c>
      <c r="U187" s="421"/>
      <c r="V187" s="421">
        <f t="shared" si="62"/>
        <v>0</v>
      </c>
    </row>
    <row r="188" spans="1:22" ht="63">
      <c r="A188" s="423" t="s">
        <v>685</v>
      </c>
      <c r="B188" s="423" t="s">
        <v>23</v>
      </c>
      <c r="C188" s="423" t="s">
        <v>24</v>
      </c>
      <c r="D188" s="584" t="s">
        <v>536</v>
      </c>
      <c r="E188" s="549">
        <f t="shared" si="81"/>
        <v>0</v>
      </c>
      <c r="F188" s="549"/>
      <c r="G188" s="549"/>
      <c r="H188" s="549"/>
      <c r="I188" s="549"/>
      <c r="J188" s="549">
        <f t="shared" si="82"/>
        <v>780391</v>
      </c>
      <c r="K188" s="550"/>
      <c r="L188" s="550"/>
      <c r="M188" s="550"/>
      <c r="N188" s="551">
        <v>780391</v>
      </c>
      <c r="O188" s="549">
        <v>780391</v>
      </c>
      <c r="P188" s="549">
        <v>780391</v>
      </c>
      <c r="Q188" s="549">
        <f t="shared" si="83"/>
        <v>780391</v>
      </c>
      <c r="R188" s="419">
        <f t="shared" si="66"/>
        <v>780391</v>
      </c>
      <c r="S188" s="420">
        <f t="shared" si="74"/>
        <v>0</v>
      </c>
      <c r="T188" s="421">
        <f t="shared" si="61"/>
        <v>0</v>
      </c>
      <c r="U188" s="421"/>
      <c r="V188" s="421">
        <f t="shared" si="62"/>
        <v>0</v>
      </c>
    </row>
    <row r="189" spans="1:22" ht="47.25">
      <c r="A189" s="423" t="s">
        <v>686</v>
      </c>
      <c r="B189" s="423" t="s">
        <v>11</v>
      </c>
      <c r="C189" s="423" t="s">
        <v>12</v>
      </c>
      <c r="D189" s="584" t="s">
        <v>517</v>
      </c>
      <c r="E189" s="549">
        <f t="shared" si="81"/>
        <v>0</v>
      </c>
      <c r="F189" s="549"/>
      <c r="G189" s="549"/>
      <c r="H189" s="549"/>
      <c r="I189" s="549"/>
      <c r="J189" s="549">
        <f t="shared" si="82"/>
        <v>39969</v>
      </c>
      <c r="K189" s="550"/>
      <c r="L189" s="550"/>
      <c r="M189" s="550"/>
      <c r="N189" s="551">
        <v>39969</v>
      </c>
      <c r="O189" s="549">
        <v>39969</v>
      </c>
      <c r="P189" s="549">
        <v>39969</v>
      </c>
      <c r="Q189" s="549">
        <f t="shared" si="83"/>
        <v>39969</v>
      </c>
      <c r="R189" s="419">
        <f t="shared" si="66"/>
        <v>39969</v>
      </c>
      <c r="S189" s="420">
        <f t="shared" si="74"/>
        <v>0</v>
      </c>
      <c r="T189" s="421">
        <f t="shared" si="61"/>
        <v>0</v>
      </c>
      <c r="U189" s="421"/>
      <c r="V189" s="421">
        <f t="shared" si="62"/>
        <v>0</v>
      </c>
    </row>
    <row r="190" spans="1:22" ht="31.5">
      <c r="A190" s="423" t="s">
        <v>687</v>
      </c>
      <c r="B190" s="423" t="s">
        <v>91</v>
      </c>
      <c r="C190" s="423" t="s">
        <v>162</v>
      </c>
      <c r="D190" s="584" t="s">
        <v>92</v>
      </c>
      <c r="E190" s="601">
        <f t="shared" si="81"/>
        <v>0</v>
      </c>
      <c r="F190" s="601"/>
      <c r="G190" s="601"/>
      <c r="H190" s="601"/>
      <c r="I190" s="601"/>
      <c r="J190" s="601">
        <f t="shared" si="82"/>
        <v>1300000</v>
      </c>
      <c r="K190" s="601"/>
      <c r="L190" s="601"/>
      <c r="M190" s="601"/>
      <c r="N190" s="629">
        <f>900000+400000</f>
        <v>1300000</v>
      </c>
      <c r="O190" s="601">
        <v>1300000</v>
      </c>
      <c r="P190" s="601">
        <v>1300000</v>
      </c>
      <c r="Q190" s="601">
        <f t="shared" si="83"/>
        <v>1300000</v>
      </c>
      <c r="R190" s="419">
        <f t="shared" si="66"/>
        <v>1300000</v>
      </c>
      <c r="S190" s="420">
        <f t="shared" si="74"/>
        <v>0</v>
      </c>
      <c r="T190" s="421">
        <f t="shared" si="61"/>
        <v>0</v>
      </c>
      <c r="U190" s="421"/>
      <c r="V190" s="421">
        <f t="shared" si="62"/>
        <v>0</v>
      </c>
    </row>
    <row r="191" spans="1:22" ht="31.5">
      <c r="A191" s="423" t="s">
        <v>697</v>
      </c>
      <c r="B191" s="423" t="s">
        <v>566</v>
      </c>
      <c r="C191" s="423" t="s">
        <v>94</v>
      </c>
      <c r="D191" s="584" t="s">
        <v>161</v>
      </c>
      <c r="E191" s="601">
        <f t="shared" si="81"/>
        <v>8500</v>
      </c>
      <c r="F191" s="629">
        <v>8500</v>
      </c>
      <c r="G191" s="601"/>
      <c r="H191" s="601"/>
      <c r="I191" s="601"/>
      <c r="J191" s="601">
        <f t="shared" si="82"/>
        <v>11148524</v>
      </c>
      <c r="K191" s="601"/>
      <c r="L191" s="601"/>
      <c r="M191" s="601"/>
      <c r="N191" s="629">
        <f>11578486-429962</f>
        <v>11148524</v>
      </c>
      <c r="O191" s="601">
        <f>11578486-429962</f>
        <v>11148524</v>
      </c>
      <c r="P191" s="601">
        <f>11578486-429962</f>
        <v>11148524</v>
      </c>
      <c r="Q191" s="601">
        <f t="shared" si="83"/>
        <v>11157024</v>
      </c>
      <c r="R191" s="419">
        <f t="shared" si="66"/>
        <v>11157024</v>
      </c>
      <c r="S191" s="420">
        <f t="shared" si="74"/>
        <v>0</v>
      </c>
      <c r="T191" s="421">
        <f t="shared" si="61"/>
        <v>0</v>
      </c>
      <c r="U191" s="421"/>
      <c r="V191" s="421">
        <f t="shared" si="62"/>
        <v>0</v>
      </c>
    </row>
    <row r="192" spans="1:22" s="64" customFormat="1" ht="47.25" hidden="1">
      <c r="A192" s="27" t="s">
        <v>688</v>
      </c>
      <c r="B192" s="27" t="s">
        <v>93</v>
      </c>
      <c r="C192" s="27" t="s">
        <v>163</v>
      </c>
      <c r="D192" s="26" t="s">
        <v>700</v>
      </c>
      <c r="E192" s="209">
        <f t="shared" si="81"/>
        <v>0</v>
      </c>
      <c r="F192" s="209"/>
      <c r="G192" s="209"/>
      <c r="H192" s="209"/>
      <c r="I192" s="209"/>
      <c r="J192" s="209"/>
      <c r="K192" s="209"/>
      <c r="L192" s="210"/>
      <c r="M192" s="210"/>
      <c r="N192" s="329"/>
      <c r="O192" s="209"/>
      <c r="P192" s="209"/>
      <c r="Q192" s="209"/>
      <c r="R192" s="419">
        <f t="shared" si="66"/>
        <v>0</v>
      </c>
      <c r="S192" s="169">
        <f t="shared" si="74"/>
        <v>0</v>
      </c>
      <c r="T192" s="339">
        <f t="shared" si="61"/>
        <v>0</v>
      </c>
      <c r="U192" s="339"/>
      <c r="V192" s="339">
        <f t="shared" si="62"/>
        <v>0</v>
      </c>
    </row>
    <row r="193" spans="1:22" ht="31.5">
      <c r="A193" s="423" t="s">
        <v>698</v>
      </c>
      <c r="B193" s="423" t="s">
        <v>598</v>
      </c>
      <c r="C193" s="423" t="s">
        <v>165</v>
      </c>
      <c r="D193" s="584" t="s">
        <v>599</v>
      </c>
      <c r="E193" s="601">
        <f t="shared" si="81"/>
        <v>0</v>
      </c>
      <c r="F193" s="601"/>
      <c r="G193" s="601"/>
      <c r="H193" s="601"/>
      <c r="I193" s="601"/>
      <c r="J193" s="601">
        <f t="shared" si="82"/>
        <v>916258</v>
      </c>
      <c r="K193" s="601"/>
      <c r="L193" s="601"/>
      <c r="M193" s="601"/>
      <c r="N193" s="629">
        <f>696258+220000</f>
        <v>916258</v>
      </c>
      <c r="O193" s="601">
        <f>696258+220000</f>
        <v>916258</v>
      </c>
      <c r="P193" s="601">
        <f>696258+220000</f>
        <v>916258</v>
      </c>
      <c r="Q193" s="601">
        <f t="shared" si="83"/>
        <v>916258</v>
      </c>
      <c r="R193" s="419">
        <f t="shared" si="66"/>
        <v>916258</v>
      </c>
      <c r="S193" s="420">
        <f t="shared" si="74"/>
        <v>0</v>
      </c>
      <c r="T193" s="421">
        <f t="shared" si="61"/>
        <v>0</v>
      </c>
      <c r="U193" s="421"/>
      <c r="V193" s="421">
        <f t="shared" si="62"/>
        <v>0</v>
      </c>
    </row>
    <row r="194" spans="1:22" ht="47.25">
      <c r="A194" s="423" t="s">
        <v>1145</v>
      </c>
      <c r="B194" s="423" t="s">
        <v>95</v>
      </c>
      <c r="C194" s="423" t="s">
        <v>167</v>
      </c>
      <c r="D194" s="584" t="s">
        <v>168</v>
      </c>
      <c r="E194" s="601">
        <f t="shared" si="81"/>
        <v>0</v>
      </c>
      <c r="F194" s="601"/>
      <c r="G194" s="601"/>
      <c r="H194" s="601"/>
      <c r="I194" s="601"/>
      <c r="J194" s="601">
        <f t="shared" si="82"/>
        <v>160000</v>
      </c>
      <c r="K194" s="601"/>
      <c r="L194" s="601"/>
      <c r="M194" s="601"/>
      <c r="N194" s="629">
        <v>160000</v>
      </c>
      <c r="O194" s="601">
        <v>160000</v>
      </c>
      <c r="P194" s="601">
        <v>160000</v>
      </c>
      <c r="Q194" s="601">
        <f t="shared" si="83"/>
        <v>160000</v>
      </c>
      <c r="R194" s="419">
        <f t="shared" si="66"/>
        <v>160000</v>
      </c>
      <c r="S194" s="420"/>
      <c r="T194" s="421">
        <f t="shared" si="61"/>
        <v>0</v>
      </c>
      <c r="U194" s="421"/>
      <c r="V194" s="421">
        <f t="shared" si="62"/>
        <v>0</v>
      </c>
    </row>
    <row r="195" spans="1:22" ht="31.5">
      <c r="A195" s="423" t="s">
        <v>1948</v>
      </c>
      <c r="B195" s="423" t="s">
        <v>568</v>
      </c>
      <c r="C195" s="423" t="s">
        <v>172</v>
      </c>
      <c r="D195" s="584" t="s">
        <v>969</v>
      </c>
      <c r="E195" s="601"/>
      <c r="F195" s="601"/>
      <c r="G195" s="601"/>
      <c r="H195" s="601"/>
      <c r="I195" s="601"/>
      <c r="J195" s="601">
        <f t="shared" si="82"/>
        <v>545000</v>
      </c>
      <c r="K195" s="601"/>
      <c r="L195" s="601"/>
      <c r="M195" s="601"/>
      <c r="N195" s="629">
        <v>545000</v>
      </c>
      <c r="O195" s="601">
        <v>545000</v>
      </c>
      <c r="P195" s="601">
        <v>545000</v>
      </c>
      <c r="Q195" s="601">
        <f>+J195+E195</f>
        <v>545000</v>
      </c>
      <c r="R195" s="419">
        <f t="shared" si="66"/>
        <v>545000</v>
      </c>
      <c r="S195" s="420"/>
      <c r="T195" s="421">
        <f t="shared" si="61"/>
        <v>0</v>
      </c>
      <c r="U195" s="421"/>
      <c r="V195" s="421">
        <f t="shared" si="62"/>
        <v>0</v>
      </c>
    </row>
    <row r="196" spans="1:22" ht="31.5">
      <c r="A196" s="423" t="s">
        <v>699</v>
      </c>
      <c r="B196" s="423" t="s">
        <v>169</v>
      </c>
      <c r="C196" s="423" t="s">
        <v>175</v>
      </c>
      <c r="D196" s="584" t="s">
        <v>569</v>
      </c>
      <c r="E196" s="601">
        <f t="shared" si="81"/>
        <v>0</v>
      </c>
      <c r="F196" s="601"/>
      <c r="G196" s="601"/>
      <c r="H196" s="601"/>
      <c r="I196" s="601"/>
      <c r="J196" s="601">
        <f t="shared" si="82"/>
        <v>2792676</v>
      </c>
      <c r="K196" s="601"/>
      <c r="L196" s="601"/>
      <c r="M196" s="601"/>
      <c r="N196" s="629">
        <f>2082676+710000</f>
        <v>2792676</v>
      </c>
      <c r="O196" s="601">
        <f>2082676+710000</f>
        <v>2792676</v>
      </c>
      <c r="P196" s="601">
        <f>1082676+710000</f>
        <v>1792676</v>
      </c>
      <c r="Q196" s="601">
        <f t="shared" si="83"/>
        <v>2792676</v>
      </c>
      <c r="R196" s="419">
        <f t="shared" si="66"/>
        <v>2792676</v>
      </c>
      <c r="S196" s="420">
        <v>1000000</v>
      </c>
      <c r="T196" s="421">
        <f t="shared" si="61"/>
        <v>-1000000</v>
      </c>
      <c r="U196" s="421"/>
      <c r="V196" s="421">
        <f t="shared" si="62"/>
        <v>0</v>
      </c>
    </row>
    <row r="197" spans="1:22" s="586" customFormat="1" ht="94.5">
      <c r="A197" s="577" t="s">
        <v>689</v>
      </c>
      <c r="B197" s="577">
        <v>3100</v>
      </c>
      <c r="C197" s="577"/>
      <c r="D197" s="578" t="s">
        <v>971</v>
      </c>
      <c r="E197" s="579">
        <f>E198+E199+E200</f>
        <v>17445</v>
      </c>
      <c r="F197" s="579">
        <f t="shared" ref="F197:Q197" si="84">F198+F199+F200</f>
        <v>17445</v>
      </c>
      <c r="G197" s="579">
        <f t="shared" si="84"/>
        <v>0</v>
      </c>
      <c r="H197" s="579">
        <f t="shared" si="84"/>
        <v>0</v>
      </c>
      <c r="I197" s="579">
        <f t="shared" si="84"/>
        <v>0</v>
      </c>
      <c r="J197" s="579">
        <f>J198+J199+J200</f>
        <v>6537895</v>
      </c>
      <c r="K197" s="579">
        <f t="shared" si="84"/>
        <v>0</v>
      </c>
      <c r="L197" s="579">
        <f t="shared" si="84"/>
        <v>0</v>
      </c>
      <c r="M197" s="579">
        <f t="shared" si="84"/>
        <v>0</v>
      </c>
      <c r="N197" s="579">
        <f t="shared" si="84"/>
        <v>6537895</v>
      </c>
      <c r="O197" s="579">
        <f t="shared" si="84"/>
        <v>6537895</v>
      </c>
      <c r="P197" s="579">
        <f t="shared" si="84"/>
        <v>6537895</v>
      </c>
      <c r="Q197" s="579">
        <f t="shared" si="84"/>
        <v>6555340</v>
      </c>
      <c r="R197" s="419">
        <f t="shared" si="66"/>
        <v>6555340</v>
      </c>
      <c r="S197" s="420">
        <f t="shared" si="74"/>
        <v>0</v>
      </c>
      <c r="T197" s="421">
        <f t="shared" si="61"/>
        <v>0</v>
      </c>
      <c r="U197" s="421"/>
      <c r="V197" s="421">
        <f t="shared" si="62"/>
        <v>0</v>
      </c>
    </row>
    <row r="198" spans="1:22" s="587" customFormat="1" ht="94.5">
      <c r="A198" s="417" t="s">
        <v>690</v>
      </c>
      <c r="B198" s="417" t="s">
        <v>212</v>
      </c>
      <c r="C198" s="417" t="s">
        <v>213</v>
      </c>
      <c r="D198" s="581" t="s">
        <v>214</v>
      </c>
      <c r="E198" s="546">
        <f>F198+I198</f>
        <v>8500</v>
      </c>
      <c r="F198" s="548">
        <f>8500</f>
        <v>8500</v>
      </c>
      <c r="G198" s="546"/>
      <c r="H198" s="546"/>
      <c r="I198" s="546"/>
      <c r="J198" s="546">
        <f>+K198+N198</f>
        <v>1778074</v>
      </c>
      <c r="K198" s="547"/>
      <c r="L198" s="547"/>
      <c r="M198" s="547"/>
      <c r="N198" s="548">
        <f>1300000+584361-106287</f>
        <v>1778074</v>
      </c>
      <c r="O198" s="546">
        <f>1884361-106287</f>
        <v>1778074</v>
      </c>
      <c r="P198" s="546">
        <f>1884361-106287</f>
        <v>1778074</v>
      </c>
      <c r="Q198" s="546">
        <f>+J198+E198</f>
        <v>1786574</v>
      </c>
      <c r="R198" s="419">
        <f t="shared" si="66"/>
        <v>1786574</v>
      </c>
      <c r="S198" s="420">
        <f t="shared" si="74"/>
        <v>0</v>
      </c>
      <c r="T198" s="421">
        <f t="shared" si="61"/>
        <v>0</v>
      </c>
      <c r="U198" s="421"/>
      <c r="V198" s="421">
        <f t="shared" si="62"/>
        <v>0</v>
      </c>
    </row>
    <row r="199" spans="1:22" s="587" customFormat="1" ht="151.9" customHeight="1">
      <c r="A199" s="417" t="s">
        <v>691</v>
      </c>
      <c r="B199" s="417" t="s">
        <v>215</v>
      </c>
      <c r="C199" s="417" t="s">
        <v>216</v>
      </c>
      <c r="D199" s="581" t="s">
        <v>124</v>
      </c>
      <c r="E199" s="546">
        <f>F199+I199</f>
        <v>8945</v>
      </c>
      <c r="F199" s="546">
        <v>8945</v>
      </c>
      <c r="G199" s="546"/>
      <c r="H199" s="546"/>
      <c r="I199" s="546"/>
      <c r="J199" s="546">
        <f>+K199+N199</f>
        <v>4657494</v>
      </c>
      <c r="K199" s="547"/>
      <c r="L199" s="547"/>
      <c r="M199" s="547"/>
      <c r="N199" s="548">
        <f>3546000+1453386+239295-581187</f>
        <v>4657494</v>
      </c>
      <c r="O199" s="546">
        <f>5238681-581187</f>
        <v>4657494</v>
      </c>
      <c r="P199" s="546">
        <f>5238681-581187</f>
        <v>4657494</v>
      </c>
      <c r="Q199" s="546">
        <f>+J199+E199</f>
        <v>4666439</v>
      </c>
      <c r="R199" s="419">
        <f t="shared" si="66"/>
        <v>4666439</v>
      </c>
      <c r="S199" s="420">
        <f t="shared" si="74"/>
        <v>0</v>
      </c>
      <c r="T199" s="421">
        <f t="shared" si="61"/>
        <v>0</v>
      </c>
      <c r="U199" s="421"/>
      <c r="V199" s="421">
        <f t="shared" si="62"/>
        <v>0</v>
      </c>
    </row>
    <row r="200" spans="1:22" s="587" customFormat="1" ht="31.5">
      <c r="A200" s="417" t="s">
        <v>692</v>
      </c>
      <c r="B200" s="417" t="s">
        <v>217</v>
      </c>
      <c r="C200" s="417" t="s">
        <v>213</v>
      </c>
      <c r="D200" s="581" t="s">
        <v>973</v>
      </c>
      <c r="E200" s="546">
        <f>F200+I200</f>
        <v>0</v>
      </c>
      <c r="F200" s="546"/>
      <c r="G200" s="546"/>
      <c r="H200" s="546"/>
      <c r="I200" s="546"/>
      <c r="J200" s="546">
        <f>+K200+N200</f>
        <v>102327</v>
      </c>
      <c r="K200" s="547"/>
      <c r="L200" s="547"/>
      <c r="M200" s="547"/>
      <c r="N200" s="548">
        <f>125740-23413</f>
        <v>102327</v>
      </c>
      <c r="O200" s="546">
        <f>125740-23413</f>
        <v>102327</v>
      </c>
      <c r="P200" s="546">
        <f>125740-23413</f>
        <v>102327</v>
      </c>
      <c r="Q200" s="546">
        <f>+J200+E200</f>
        <v>102327</v>
      </c>
      <c r="R200" s="419">
        <f t="shared" si="66"/>
        <v>102327</v>
      </c>
      <c r="S200" s="420">
        <f t="shared" si="74"/>
        <v>0</v>
      </c>
      <c r="T200" s="421">
        <f t="shared" si="61"/>
        <v>0</v>
      </c>
      <c r="U200" s="421"/>
      <c r="V200" s="421">
        <f t="shared" si="62"/>
        <v>0</v>
      </c>
    </row>
    <row r="201" spans="1:22" s="610" customFormat="1" ht="31.5">
      <c r="A201" s="577" t="s">
        <v>693</v>
      </c>
      <c r="B201" s="577" t="s">
        <v>452</v>
      </c>
      <c r="C201" s="577"/>
      <c r="D201" s="578" t="s">
        <v>113</v>
      </c>
      <c r="E201" s="579">
        <f t="shared" ref="E201:O201" si="85">E202</f>
        <v>0</v>
      </c>
      <c r="F201" s="579">
        <f t="shared" si="85"/>
        <v>0</v>
      </c>
      <c r="G201" s="579">
        <f t="shared" si="85"/>
        <v>0</v>
      </c>
      <c r="H201" s="579">
        <f t="shared" si="85"/>
        <v>0</v>
      </c>
      <c r="I201" s="579">
        <f t="shared" si="85"/>
        <v>0</v>
      </c>
      <c r="J201" s="579">
        <f t="shared" si="85"/>
        <v>10600</v>
      </c>
      <c r="K201" s="579">
        <f t="shared" si="85"/>
        <v>0</v>
      </c>
      <c r="L201" s="579">
        <f t="shared" si="85"/>
        <v>0</v>
      </c>
      <c r="M201" s="579">
        <f t="shared" si="85"/>
        <v>0</v>
      </c>
      <c r="N201" s="579">
        <f t="shared" si="85"/>
        <v>10600</v>
      </c>
      <c r="O201" s="579">
        <f t="shared" si="85"/>
        <v>10600</v>
      </c>
      <c r="P201" s="579">
        <f>P202</f>
        <v>10600</v>
      </c>
      <c r="Q201" s="579">
        <f>Q202</f>
        <v>10600</v>
      </c>
      <c r="R201" s="419">
        <f t="shared" si="66"/>
        <v>10600</v>
      </c>
      <c r="S201" s="420">
        <f t="shared" si="74"/>
        <v>0</v>
      </c>
      <c r="T201" s="421">
        <f t="shared" si="61"/>
        <v>0</v>
      </c>
      <c r="U201" s="421"/>
      <c r="V201" s="421">
        <f t="shared" si="62"/>
        <v>0</v>
      </c>
    </row>
    <row r="202" spans="1:22" ht="63">
      <c r="A202" s="417" t="s">
        <v>694</v>
      </c>
      <c r="B202" s="417" t="s">
        <v>426</v>
      </c>
      <c r="C202" s="603" t="s">
        <v>14</v>
      </c>
      <c r="D202" s="604" t="s">
        <v>98</v>
      </c>
      <c r="E202" s="549">
        <f>F202+I202</f>
        <v>0</v>
      </c>
      <c r="F202" s="549"/>
      <c r="G202" s="549"/>
      <c r="H202" s="549"/>
      <c r="I202" s="549"/>
      <c r="J202" s="549">
        <f>+K202+N202</f>
        <v>10600</v>
      </c>
      <c r="K202" s="550"/>
      <c r="L202" s="550"/>
      <c r="M202" s="550"/>
      <c r="N202" s="551">
        <f>10600</f>
        <v>10600</v>
      </c>
      <c r="O202" s="550">
        <v>10600</v>
      </c>
      <c r="P202" s="550">
        <v>10600</v>
      </c>
      <c r="Q202" s="549">
        <f>+J202+E202</f>
        <v>10600</v>
      </c>
      <c r="R202" s="419">
        <f t="shared" si="66"/>
        <v>10600</v>
      </c>
      <c r="S202" s="420">
        <f t="shared" si="74"/>
        <v>0</v>
      </c>
      <c r="T202" s="421">
        <f t="shared" si="61"/>
        <v>0</v>
      </c>
      <c r="U202" s="421"/>
      <c r="V202" s="421">
        <f t="shared" si="62"/>
        <v>0</v>
      </c>
    </row>
    <row r="203" spans="1:22" ht="15.75">
      <c r="A203" s="423" t="s">
        <v>701</v>
      </c>
      <c r="B203" s="423" t="s">
        <v>354</v>
      </c>
      <c r="C203" s="423" t="s">
        <v>207</v>
      </c>
      <c r="D203" s="584" t="s">
        <v>585</v>
      </c>
      <c r="E203" s="549">
        <f>F203+I203</f>
        <v>0</v>
      </c>
      <c r="F203" s="549"/>
      <c r="G203" s="549"/>
      <c r="H203" s="549"/>
      <c r="I203" s="549"/>
      <c r="J203" s="549">
        <f>+K203+N203</f>
        <v>2233467</v>
      </c>
      <c r="K203" s="550"/>
      <c r="L203" s="550"/>
      <c r="M203" s="550"/>
      <c r="N203" s="551">
        <v>2233467</v>
      </c>
      <c r="O203" s="550">
        <v>2233467</v>
      </c>
      <c r="P203" s="550">
        <v>2233467</v>
      </c>
      <c r="Q203" s="549">
        <f>+J203+E203</f>
        <v>2233467</v>
      </c>
      <c r="R203" s="419">
        <f t="shared" si="66"/>
        <v>2233467</v>
      </c>
      <c r="S203" s="420">
        <f t="shared" si="74"/>
        <v>0</v>
      </c>
      <c r="T203" s="421">
        <f t="shared" si="61"/>
        <v>0</v>
      </c>
      <c r="U203" s="421"/>
      <c r="V203" s="421">
        <f t="shared" si="62"/>
        <v>0</v>
      </c>
    </row>
    <row r="204" spans="1:22" ht="31.5">
      <c r="A204" s="423" t="s">
        <v>702</v>
      </c>
      <c r="B204" s="423" t="s">
        <v>647</v>
      </c>
      <c r="C204" s="423" t="s">
        <v>207</v>
      </c>
      <c r="D204" s="584" t="s">
        <v>648</v>
      </c>
      <c r="E204" s="549">
        <f>F204+I204</f>
        <v>0</v>
      </c>
      <c r="F204" s="549"/>
      <c r="G204" s="549"/>
      <c r="H204" s="549"/>
      <c r="I204" s="549"/>
      <c r="J204" s="549">
        <f>+K204+N204</f>
        <v>1068778</v>
      </c>
      <c r="K204" s="550"/>
      <c r="L204" s="550"/>
      <c r="M204" s="550"/>
      <c r="N204" s="551">
        <v>1068778</v>
      </c>
      <c r="O204" s="550">
        <v>1068778</v>
      </c>
      <c r="P204" s="550">
        <v>1068778</v>
      </c>
      <c r="Q204" s="549">
        <f>+J204+E204</f>
        <v>1068778</v>
      </c>
      <c r="R204" s="419">
        <f t="shared" si="66"/>
        <v>1068778</v>
      </c>
      <c r="S204" s="420">
        <f t="shared" si="74"/>
        <v>0</v>
      </c>
      <c r="T204" s="421">
        <f t="shared" si="61"/>
        <v>0</v>
      </c>
      <c r="U204" s="421"/>
      <c r="V204" s="421">
        <f t="shared" si="62"/>
        <v>0</v>
      </c>
    </row>
    <row r="205" spans="1:22" s="422" customFormat="1" ht="31.5">
      <c r="A205" s="577" t="s">
        <v>703</v>
      </c>
      <c r="B205" s="577" t="s">
        <v>650</v>
      </c>
      <c r="C205" s="577"/>
      <c r="D205" s="578" t="s">
        <v>651</v>
      </c>
      <c r="E205" s="579">
        <f>SUM(E206:E207)</f>
        <v>0</v>
      </c>
      <c r="F205" s="579">
        <f t="shared" ref="F205:Q205" si="86">SUM(F206:F207)</f>
        <v>0</v>
      </c>
      <c r="G205" s="579">
        <f t="shared" si="86"/>
        <v>0</v>
      </c>
      <c r="H205" s="579">
        <f t="shared" si="86"/>
        <v>0</v>
      </c>
      <c r="I205" s="579">
        <f t="shared" si="86"/>
        <v>0</v>
      </c>
      <c r="J205" s="579">
        <f t="shared" si="86"/>
        <v>358023</v>
      </c>
      <c r="K205" s="579">
        <f t="shared" si="86"/>
        <v>0</v>
      </c>
      <c r="L205" s="579">
        <f t="shared" si="86"/>
        <v>0</v>
      </c>
      <c r="M205" s="579">
        <f t="shared" si="86"/>
        <v>0</v>
      </c>
      <c r="N205" s="579">
        <f t="shared" si="86"/>
        <v>358023</v>
      </c>
      <c r="O205" s="579">
        <f t="shared" si="86"/>
        <v>358023</v>
      </c>
      <c r="P205" s="579">
        <f t="shared" si="86"/>
        <v>358023</v>
      </c>
      <c r="Q205" s="579">
        <f t="shared" si="86"/>
        <v>358023</v>
      </c>
      <c r="R205" s="419">
        <f t="shared" si="66"/>
        <v>358023</v>
      </c>
      <c r="S205" s="420">
        <f t="shared" si="74"/>
        <v>0</v>
      </c>
      <c r="T205" s="421">
        <f t="shared" si="61"/>
        <v>0</v>
      </c>
      <c r="U205" s="421"/>
      <c r="V205" s="421">
        <f t="shared" si="62"/>
        <v>0</v>
      </c>
    </row>
    <row r="206" spans="1:22" ht="47.25">
      <c r="A206" s="423" t="s">
        <v>1132</v>
      </c>
      <c r="B206" s="423" t="s">
        <v>801</v>
      </c>
      <c r="C206" s="423" t="s">
        <v>356</v>
      </c>
      <c r="D206" s="584" t="s">
        <v>1133</v>
      </c>
      <c r="E206" s="549">
        <f>F206+I206</f>
        <v>0</v>
      </c>
      <c r="F206" s="549"/>
      <c r="G206" s="549"/>
      <c r="H206" s="549"/>
      <c r="I206" s="549"/>
      <c r="J206" s="549">
        <f>+K206+N206</f>
        <v>10000</v>
      </c>
      <c r="K206" s="550"/>
      <c r="L206" s="550"/>
      <c r="M206" s="550"/>
      <c r="N206" s="551">
        <v>10000</v>
      </c>
      <c r="O206" s="549">
        <v>10000</v>
      </c>
      <c r="P206" s="549">
        <v>10000</v>
      </c>
      <c r="Q206" s="549">
        <f>+J206+E206</f>
        <v>10000</v>
      </c>
      <c r="R206" s="419">
        <f t="shared" si="66"/>
        <v>10000</v>
      </c>
      <c r="S206" s="420"/>
      <c r="T206" s="421">
        <f t="shared" si="61"/>
        <v>0</v>
      </c>
      <c r="U206" s="421"/>
      <c r="V206" s="421">
        <f t="shared" si="62"/>
        <v>0</v>
      </c>
    </row>
    <row r="207" spans="1:22" ht="31.5">
      <c r="A207" s="423" t="s">
        <v>1134</v>
      </c>
      <c r="B207" s="423" t="s">
        <v>907</v>
      </c>
      <c r="C207" s="423" t="s">
        <v>356</v>
      </c>
      <c r="D207" s="584" t="s">
        <v>947</v>
      </c>
      <c r="E207" s="549">
        <f>F207+I207</f>
        <v>0</v>
      </c>
      <c r="F207" s="549"/>
      <c r="G207" s="549"/>
      <c r="H207" s="549"/>
      <c r="I207" s="549"/>
      <c r="J207" s="549">
        <f>+K207+N207</f>
        <v>348023</v>
      </c>
      <c r="K207" s="550"/>
      <c r="L207" s="550"/>
      <c r="M207" s="550"/>
      <c r="N207" s="551">
        <v>348023</v>
      </c>
      <c r="O207" s="549">
        <v>348023</v>
      </c>
      <c r="P207" s="549">
        <v>348023</v>
      </c>
      <c r="Q207" s="549">
        <f>+J207+E207</f>
        <v>348023</v>
      </c>
      <c r="R207" s="419">
        <f t="shared" si="66"/>
        <v>348023</v>
      </c>
      <c r="S207" s="420"/>
      <c r="T207" s="421">
        <f t="shared" si="61"/>
        <v>0</v>
      </c>
      <c r="U207" s="421"/>
      <c r="V207" s="421">
        <f t="shared" si="62"/>
        <v>0</v>
      </c>
    </row>
    <row r="208" spans="1:22" s="422" customFormat="1" ht="31.5">
      <c r="A208" s="577" t="s">
        <v>695</v>
      </c>
      <c r="B208" s="577" t="s">
        <v>434</v>
      </c>
      <c r="C208" s="577"/>
      <c r="D208" s="578" t="s">
        <v>260</v>
      </c>
      <c r="E208" s="579">
        <f>E209+E210</f>
        <v>25500</v>
      </c>
      <c r="F208" s="579">
        <f t="shared" ref="F208:Q208" si="87">F209+F210</f>
        <v>25500</v>
      </c>
      <c r="G208" s="579">
        <f t="shared" si="87"/>
        <v>0</v>
      </c>
      <c r="H208" s="579">
        <f t="shared" si="87"/>
        <v>0</v>
      </c>
      <c r="I208" s="579">
        <f t="shared" si="87"/>
        <v>0</v>
      </c>
      <c r="J208" s="579">
        <f t="shared" si="87"/>
        <v>3805731</v>
      </c>
      <c r="K208" s="579">
        <f t="shared" si="87"/>
        <v>0</v>
      </c>
      <c r="L208" s="579">
        <f t="shared" si="87"/>
        <v>0</v>
      </c>
      <c r="M208" s="579">
        <f t="shared" si="87"/>
        <v>0</v>
      </c>
      <c r="N208" s="579">
        <f t="shared" si="87"/>
        <v>3805731</v>
      </c>
      <c r="O208" s="579">
        <f t="shared" si="87"/>
        <v>3805731</v>
      </c>
      <c r="P208" s="579">
        <f t="shared" si="87"/>
        <v>3805731</v>
      </c>
      <c r="Q208" s="579">
        <f t="shared" si="87"/>
        <v>3831231</v>
      </c>
      <c r="R208" s="419">
        <f t="shared" si="66"/>
        <v>3831231</v>
      </c>
      <c r="S208" s="420">
        <f t="shared" si="74"/>
        <v>0</v>
      </c>
      <c r="T208" s="421">
        <f t="shared" ref="T208:T272" si="88">P208-O208</f>
        <v>0</v>
      </c>
      <c r="U208" s="421"/>
      <c r="V208" s="421">
        <f t="shared" ref="V208:V272" si="89">O208-N208</f>
        <v>0</v>
      </c>
    </row>
    <row r="209" spans="1:22" s="422" customFormat="1" ht="63">
      <c r="A209" s="417" t="s">
        <v>696</v>
      </c>
      <c r="B209" s="417" t="s">
        <v>449</v>
      </c>
      <c r="C209" s="417" t="s">
        <v>374</v>
      </c>
      <c r="D209" s="581" t="s">
        <v>63</v>
      </c>
      <c r="E209" s="546">
        <f>F209+I209</f>
        <v>25500</v>
      </c>
      <c r="F209" s="548">
        <v>25500</v>
      </c>
      <c r="G209" s="546"/>
      <c r="H209" s="546"/>
      <c r="I209" s="546"/>
      <c r="J209" s="546">
        <f>+K209+N209</f>
        <v>512892</v>
      </c>
      <c r="K209" s="547"/>
      <c r="L209" s="547"/>
      <c r="M209" s="547"/>
      <c r="N209" s="548">
        <v>512892</v>
      </c>
      <c r="O209" s="547">
        <v>512892</v>
      </c>
      <c r="P209" s="547">
        <v>512892</v>
      </c>
      <c r="Q209" s="546">
        <f>+J209+E209</f>
        <v>538392</v>
      </c>
      <c r="R209" s="419">
        <f t="shared" si="66"/>
        <v>538392</v>
      </c>
      <c r="S209" s="420">
        <f t="shared" si="74"/>
        <v>0</v>
      </c>
      <c r="T209" s="421">
        <f t="shared" si="88"/>
        <v>0</v>
      </c>
      <c r="U209" s="421"/>
      <c r="V209" s="421">
        <f t="shared" si="89"/>
        <v>0</v>
      </c>
    </row>
    <row r="210" spans="1:22" s="422" customFormat="1" ht="47.25">
      <c r="A210" s="417" t="s">
        <v>1143</v>
      </c>
      <c r="B210" s="417" t="s">
        <v>298</v>
      </c>
      <c r="C210" s="417" t="s">
        <v>374</v>
      </c>
      <c r="D210" s="581" t="s">
        <v>1144</v>
      </c>
      <c r="E210" s="546"/>
      <c r="F210" s="548"/>
      <c r="G210" s="546"/>
      <c r="H210" s="546"/>
      <c r="I210" s="546"/>
      <c r="J210" s="546">
        <f>+K210+N210</f>
        <v>3292839</v>
      </c>
      <c r="K210" s="630"/>
      <c r="L210" s="547"/>
      <c r="M210" s="547"/>
      <c r="N210" s="548">
        <v>3292839</v>
      </c>
      <c r="O210" s="547">
        <v>3292839</v>
      </c>
      <c r="P210" s="547">
        <v>3292839</v>
      </c>
      <c r="Q210" s="546">
        <f>+J210+E210</f>
        <v>3292839</v>
      </c>
      <c r="R210" s="419">
        <f t="shared" si="66"/>
        <v>3292839</v>
      </c>
      <c r="S210" s="420"/>
      <c r="T210" s="421">
        <f t="shared" si="88"/>
        <v>0</v>
      </c>
      <c r="U210" s="421"/>
      <c r="V210" s="421">
        <f t="shared" si="89"/>
        <v>0</v>
      </c>
    </row>
    <row r="211" spans="1:22" ht="31.5">
      <c r="A211" s="423" t="s">
        <v>919</v>
      </c>
      <c r="B211" s="423" t="s">
        <v>920</v>
      </c>
      <c r="C211" s="423" t="s">
        <v>654</v>
      </c>
      <c r="D211" s="631" t="s">
        <v>985</v>
      </c>
      <c r="E211" s="549">
        <f>F211+I211</f>
        <v>0</v>
      </c>
      <c r="F211" s="551"/>
      <c r="G211" s="549"/>
      <c r="H211" s="549"/>
      <c r="I211" s="549"/>
      <c r="J211" s="549">
        <f>+K211+N211</f>
        <v>705510</v>
      </c>
      <c r="K211" s="632"/>
      <c r="L211" s="549"/>
      <c r="M211" s="549"/>
      <c r="N211" s="551">
        <f>548600+156910</f>
        <v>705510</v>
      </c>
      <c r="O211" s="549">
        <v>705510</v>
      </c>
      <c r="P211" s="549">
        <v>705510</v>
      </c>
      <c r="Q211" s="549">
        <f>+J211+E211</f>
        <v>705510</v>
      </c>
      <c r="R211" s="419">
        <f t="shared" ref="R211:R274" si="90">+E211+J211</f>
        <v>705510</v>
      </c>
      <c r="S211" s="420">
        <f t="shared" si="74"/>
        <v>0</v>
      </c>
      <c r="T211" s="421">
        <f t="shared" si="88"/>
        <v>0</v>
      </c>
      <c r="U211" s="421"/>
      <c r="V211" s="421">
        <f t="shared" si="89"/>
        <v>0</v>
      </c>
    </row>
    <row r="212" spans="1:22" s="422" customFormat="1" ht="31.5">
      <c r="A212" s="577" t="s">
        <v>707</v>
      </c>
      <c r="B212" s="577" t="s">
        <v>708</v>
      </c>
      <c r="C212" s="577"/>
      <c r="D212" s="578" t="s">
        <v>1016</v>
      </c>
      <c r="E212" s="579">
        <f t="shared" ref="E212:Q212" si="91">SUM(E213:E216)</f>
        <v>0</v>
      </c>
      <c r="F212" s="579">
        <f t="shared" si="91"/>
        <v>0</v>
      </c>
      <c r="G212" s="579">
        <f t="shared" si="91"/>
        <v>0</v>
      </c>
      <c r="H212" s="579">
        <f t="shared" si="91"/>
        <v>0</v>
      </c>
      <c r="I212" s="579">
        <f t="shared" si="91"/>
        <v>0</v>
      </c>
      <c r="J212" s="579">
        <f t="shared" si="91"/>
        <v>3262149</v>
      </c>
      <c r="K212" s="579">
        <f t="shared" si="91"/>
        <v>0</v>
      </c>
      <c r="L212" s="579">
        <f t="shared" si="91"/>
        <v>0</v>
      </c>
      <c r="M212" s="579">
        <f t="shared" si="91"/>
        <v>0</v>
      </c>
      <c r="N212" s="579">
        <f t="shared" si="91"/>
        <v>3262149</v>
      </c>
      <c r="O212" s="579">
        <f t="shared" si="91"/>
        <v>3262149</v>
      </c>
      <c r="P212" s="579">
        <f t="shared" si="91"/>
        <v>3262149</v>
      </c>
      <c r="Q212" s="579">
        <f t="shared" si="91"/>
        <v>3262149</v>
      </c>
      <c r="R212" s="419">
        <f t="shared" si="90"/>
        <v>3262149</v>
      </c>
      <c r="S212" s="420">
        <f t="shared" si="74"/>
        <v>0</v>
      </c>
      <c r="T212" s="421">
        <f t="shared" si="88"/>
        <v>0</v>
      </c>
      <c r="U212" s="421"/>
      <c r="V212" s="421">
        <f t="shared" si="89"/>
        <v>0</v>
      </c>
    </row>
    <row r="213" spans="1:22" s="422" customFormat="1" ht="37.5">
      <c r="A213" s="417" t="s">
        <v>704</v>
      </c>
      <c r="B213" s="417" t="s">
        <v>705</v>
      </c>
      <c r="C213" s="417" t="s">
        <v>654</v>
      </c>
      <c r="D213" s="581" t="s">
        <v>3187</v>
      </c>
      <c r="E213" s="546">
        <f t="shared" ref="E213:E224" si="92">F213+I213</f>
        <v>0</v>
      </c>
      <c r="F213" s="546"/>
      <c r="G213" s="546"/>
      <c r="H213" s="546"/>
      <c r="I213" s="546"/>
      <c r="J213" s="546">
        <f t="shared" ref="J213:J224" si="93">+K213+N213</f>
        <v>150000</v>
      </c>
      <c r="K213" s="547"/>
      <c r="L213" s="547"/>
      <c r="M213" s="547"/>
      <c r="N213" s="548">
        <v>150000</v>
      </c>
      <c r="O213" s="547">
        <v>150000</v>
      </c>
      <c r="P213" s="547">
        <v>150000</v>
      </c>
      <c r="Q213" s="546">
        <f t="shared" ref="Q213:Q224" si="94">J213+E213</f>
        <v>150000</v>
      </c>
      <c r="R213" s="419">
        <f t="shared" si="90"/>
        <v>150000</v>
      </c>
      <c r="S213" s="420">
        <f t="shared" si="74"/>
        <v>0</v>
      </c>
      <c r="T213" s="421">
        <f t="shared" si="88"/>
        <v>0</v>
      </c>
      <c r="U213" s="421"/>
      <c r="V213" s="421">
        <f t="shared" si="89"/>
        <v>0</v>
      </c>
    </row>
    <row r="214" spans="1:22" s="422" customFormat="1" ht="34.5" hidden="1">
      <c r="A214" s="417" t="s">
        <v>709</v>
      </c>
      <c r="B214" s="417" t="s">
        <v>710</v>
      </c>
      <c r="C214" s="417" t="s">
        <v>654</v>
      </c>
      <c r="D214" s="581" t="s">
        <v>3188</v>
      </c>
      <c r="E214" s="546">
        <f t="shared" si="92"/>
        <v>0</v>
      </c>
      <c r="F214" s="546"/>
      <c r="G214" s="546"/>
      <c r="H214" s="546"/>
      <c r="I214" s="546"/>
      <c r="J214" s="546">
        <f t="shared" si="93"/>
        <v>0</v>
      </c>
      <c r="K214" s="547"/>
      <c r="L214" s="547"/>
      <c r="M214" s="547"/>
      <c r="N214" s="548"/>
      <c r="O214" s="547"/>
      <c r="P214" s="547"/>
      <c r="Q214" s="546">
        <f t="shared" si="94"/>
        <v>0</v>
      </c>
      <c r="R214" s="419">
        <f t="shared" si="90"/>
        <v>0</v>
      </c>
      <c r="T214" s="421">
        <f t="shared" si="88"/>
        <v>0</v>
      </c>
      <c r="U214" s="421"/>
      <c r="V214" s="421">
        <f t="shared" si="89"/>
        <v>0</v>
      </c>
    </row>
    <row r="215" spans="1:22" s="422" customFormat="1" ht="41.25">
      <c r="A215" s="1060" t="s">
        <v>3241</v>
      </c>
      <c r="B215" s="1060" t="s">
        <v>966</v>
      </c>
      <c r="C215" s="1060" t="s">
        <v>654</v>
      </c>
      <c r="D215" s="1001" t="s">
        <v>3242</v>
      </c>
      <c r="E215" s="546">
        <f t="shared" si="92"/>
        <v>0</v>
      </c>
      <c r="F215" s="546"/>
      <c r="G215" s="546"/>
      <c r="H215" s="546"/>
      <c r="I215" s="546"/>
      <c r="J215" s="546">
        <f t="shared" si="93"/>
        <v>572300</v>
      </c>
      <c r="K215" s="547"/>
      <c r="L215" s="547"/>
      <c r="M215" s="547"/>
      <c r="N215" s="548">
        <v>572300</v>
      </c>
      <c r="O215" s="547">
        <v>572300</v>
      </c>
      <c r="P215" s="547">
        <v>572300</v>
      </c>
      <c r="Q215" s="546">
        <f t="shared" si="94"/>
        <v>572300</v>
      </c>
      <c r="R215" s="419">
        <f t="shared" si="90"/>
        <v>572300</v>
      </c>
      <c r="T215" s="421"/>
      <c r="U215" s="421"/>
      <c r="V215" s="421"/>
    </row>
    <row r="216" spans="1:22" s="422" customFormat="1" ht="47.25">
      <c r="A216" s="417" t="s">
        <v>922</v>
      </c>
      <c r="B216" s="417" t="s">
        <v>923</v>
      </c>
      <c r="C216" s="417" t="s">
        <v>654</v>
      </c>
      <c r="D216" s="418" t="s">
        <v>988</v>
      </c>
      <c r="E216" s="546">
        <f t="shared" si="92"/>
        <v>0</v>
      </c>
      <c r="F216" s="546"/>
      <c r="G216" s="546"/>
      <c r="H216" s="546"/>
      <c r="I216" s="546"/>
      <c r="J216" s="546">
        <f t="shared" si="93"/>
        <v>2539849</v>
      </c>
      <c r="K216" s="547"/>
      <c r="L216" s="547"/>
      <c r="M216" s="547"/>
      <c r="N216" s="548">
        <v>2539849</v>
      </c>
      <c r="O216" s="547">
        <v>2539849</v>
      </c>
      <c r="P216" s="547">
        <v>2539849</v>
      </c>
      <c r="Q216" s="546">
        <f t="shared" si="94"/>
        <v>2539849</v>
      </c>
      <c r="R216" s="419">
        <f t="shared" si="90"/>
        <v>2539849</v>
      </c>
      <c r="S216" s="420">
        <f t="shared" si="74"/>
        <v>0</v>
      </c>
      <c r="T216" s="421">
        <f t="shared" si="88"/>
        <v>0</v>
      </c>
      <c r="U216" s="421"/>
      <c r="V216" s="421">
        <f t="shared" si="89"/>
        <v>0</v>
      </c>
    </row>
    <row r="217" spans="1:22" s="422" customFormat="1" ht="63">
      <c r="A217" s="423" t="s">
        <v>1138</v>
      </c>
      <c r="B217" s="423" t="s">
        <v>1139</v>
      </c>
      <c r="C217" s="423" t="s">
        <v>654</v>
      </c>
      <c r="D217" s="424" t="s">
        <v>1622</v>
      </c>
      <c r="E217" s="546">
        <f t="shared" si="92"/>
        <v>0</v>
      </c>
      <c r="F217" s="549"/>
      <c r="G217" s="549"/>
      <c r="H217" s="549"/>
      <c r="I217" s="549"/>
      <c r="J217" s="548">
        <f t="shared" si="93"/>
        <v>8027588</v>
      </c>
      <c r="K217" s="550"/>
      <c r="L217" s="550"/>
      <c r="M217" s="550"/>
      <c r="N217" s="551">
        <f>554471-100000+2600000+335477+90000+1173533+145223+5659570-2430686</f>
        <v>8027588</v>
      </c>
      <c r="O217" s="550">
        <f>454471+2600000+335477+90000+1173533+145223+5659570-2430686</f>
        <v>8027588</v>
      </c>
      <c r="P217" s="550">
        <f>454471+2600000+90000+367496+5000000-2430686</f>
        <v>6081281</v>
      </c>
      <c r="Q217" s="546">
        <f t="shared" si="94"/>
        <v>8027588</v>
      </c>
      <c r="R217" s="419">
        <f t="shared" si="90"/>
        <v>8027588</v>
      </c>
      <c r="S217" s="420"/>
      <c r="T217" s="421">
        <f t="shared" si="88"/>
        <v>-1946307</v>
      </c>
      <c r="U217" s="421"/>
      <c r="V217" s="421">
        <f t="shared" si="89"/>
        <v>0</v>
      </c>
    </row>
    <row r="218" spans="1:22" ht="31.5">
      <c r="A218" s="423" t="s">
        <v>712</v>
      </c>
      <c r="B218" s="423" t="s">
        <v>481</v>
      </c>
      <c r="C218" s="423" t="s">
        <v>654</v>
      </c>
      <c r="D218" s="584" t="s">
        <v>657</v>
      </c>
      <c r="E218" s="546">
        <f t="shared" si="92"/>
        <v>0</v>
      </c>
      <c r="F218" s="546"/>
      <c r="G218" s="546"/>
      <c r="H218" s="546"/>
      <c r="I218" s="546"/>
      <c r="J218" s="546">
        <f t="shared" si="93"/>
        <v>4550000</v>
      </c>
      <c r="K218" s="593"/>
      <c r="L218" s="546"/>
      <c r="M218" s="546"/>
      <c r="N218" s="548">
        <v>4550000</v>
      </c>
      <c r="O218" s="546">
        <v>4550000</v>
      </c>
      <c r="P218" s="546">
        <v>4550000</v>
      </c>
      <c r="Q218" s="546">
        <f t="shared" si="94"/>
        <v>4550000</v>
      </c>
      <c r="R218" s="419">
        <f t="shared" si="90"/>
        <v>4550000</v>
      </c>
      <c r="S218" s="420">
        <f t="shared" si="74"/>
        <v>0</v>
      </c>
      <c r="T218" s="421">
        <f t="shared" si="88"/>
        <v>0</v>
      </c>
      <c r="U218" s="421"/>
      <c r="V218" s="421">
        <f t="shared" si="89"/>
        <v>0</v>
      </c>
    </row>
    <row r="219" spans="1:22" s="610" customFormat="1" ht="31.5">
      <c r="A219" s="577" t="s">
        <v>1030</v>
      </c>
      <c r="B219" s="577" t="s">
        <v>1031</v>
      </c>
      <c r="C219" s="577"/>
      <c r="D219" s="578" t="s">
        <v>1032</v>
      </c>
      <c r="E219" s="579">
        <f>SUM(E220:E221)</f>
        <v>0</v>
      </c>
      <c r="F219" s="579">
        <f t="shared" ref="F219:Q219" si="95">SUM(F220:F221)</f>
        <v>0</v>
      </c>
      <c r="G219" s="579">
        <f t="shared" si="95"/>
        <v>0</v>
      </c>
      <c r="H219" s="579">
        <f t="shared" si="95"/>
        <v>0</v>
      </c>
      <c r="I219" s="579">
        <f t="shared" si="95"/>
        <v>0</v>
      </c>
      <c r="J219" s="579">
        <f t="shared" si="95"/>
        <v>250152287.03</v>
      </c>
      <c r="K219" s="579">
        <f t="shared" si="95"/>
        <v>0</v>
      </c>
      <c r="L219" s="579">
        <f t="shared" si="95"/>
        <v>0</v>
      </c>
      <c r="M219" s="579">
        <f t="shared" si="95"/>
        <v>0</v>
      </c>
      <c r="N219" s="579">
        <f t="shared" si="95"/>
        <v>250152287.03</v>
      </c>
      <c r="O219" s="579">
        <f t="shared" si="95"/>
        <v>250152287.03</v>
      </c>
      <c r="P219" s="579">
        <f t="shared" si="95"/>
        <v>137996709</v>
      </c>
      <c r="Q219" s="579">
        <f t="shared" si="95"/>
        <v>250152287.03</v>
      </c>
      <c r="R219" s="419">
        <f t="shared" si="90"/>
        <v>250152287.03</v>
      </c>
      <c r="S219" s="420"/>
      <c r="T219" s="421">
        <f t="shared" si="88"/>
        <v>-112155578.03</v>
      </c>
      <c r="U219" s="421"/>
      <c r="V219" s="421">
        <f t="shared" si="89"/>
        <v>0</v>
      </c>
    </row>
    <row r="220" spans="1:22" s="587" customFormat="1" ht="63">
      <c r="A220" s="417" t="s">
        <v>1033</v>
      </c>
      <c r="B220" s="417" t="s">
        <v>1034</v>
      </c>
      <c r="C220" s="417" t="s">
        <v>358</v>
      </c>
      <c r="D220" s="418" t="s">
        <v>1035</v>
      </c>
      <c r="E220" s="546">
        <f t="shared" si="92"/>
        <v>0</v>
      </c>
      <c r="F220" s="546"/>
      <c r="G220" s="546"/>
      <c r="H220" s="546"/>
      <c r="I220" s="546"/>
      <c r="J220" s="548">
        <f t="shared" si="93"/>
        <v>123950321.03</v>
      </c>
      <c r="K220" s="593"/>
      <c r="L220" s="546"/>
      <c r="M220" s="546"/>
      <c r="N220" s="548">
        <f>14750000+3060000+250000+12763241+30430000+3990000+4082510-2850329+2096693.03-4899500+2470687+1695600+2460891+1291033-645600+3022469+17899500+3065970+48976+12000+973902+22745641-2056915+1000000+700000-79872+324174-1200000-820283+100000-5659570+12122100+807003</f>
        <v>123950321.03</v>
      </c>
      <c r="O220" s="546">
        <f>61253241+3990000+4082510-2850329+2096693.03-4899500+3761720+1050000+3022469+2460891+17899500+3065970+48976+12000+973902+22745641-2056915+1000000+700000-79872+324174-1200000-820283+100000-5659570+12122100+807003</f>
        <v>123950321.03</v>
      </c>
      <c r="P220" s="546">
        <f>14750000+250000+30400000-4899500+6627178+17899500+2044300+973902+22745641-2056915+1000000+700000-5000000+12122100+807003</f>
        <v>98363209</v>
      </c>
      <c r="Q220" s="546">
        <f t="shared" si="94"/>
        <v>123950321.03</v>
      </c>
      <c r="R220" s="419">
        <f t="shared" si="90"/>
        <v>123950321.03</v>
      </c>
      <c r="S220" s="623">
        <f>3060000+12793241</f>
        <v>15853241</v>
      </c>
      <c r="T220" s="421">
        <f t="shared" si="88"/>
        <v>-25587112.030000001</v>
      </c>
      <c r="U220" s="421"/>
      <c r="V220" s="421">
        <f t="shared" si="89"/>
        <v>0</v>
      </c>
    </row>
    <row r="221" spans="1:22" s="587" customFormat="1" ht="94.5">
      <c r="A221" s="417" t="s">
        <v>1140</v>
      </c>
      <c r="B221" s="417" t="s">
        <v>1141</v>
      </c>
      <c r="C221" s="417" t="s">
        <v>358</v>
      </c>
      <c r="D221" s="418" t="s">
        <v>1142</v>
      </c>
      <c r="E221" s="546">
        <f t="shared" si="92"/>
        <v>0</v>
      </c>
      <c r="F221" s="546"/>
      <c r="G221" s="546"/>
      <c r="H221" s="546"/>
      <c r="I221" s="546"/>
      <c r="J221" s="546">
        <f t="shared" si="93"/>
        <v>126201966</v>
      </c>
      <c r="K221" s="593"/>
      <c r="L221" s="546"/>
      <c r="M221" s="546"/>
      <c r="N221" s="548">
        <f>50000000+450000+694500+720000+400000+38913500+18086500+1891586+669880+2700000+720000+10956000</f>
        <v>126201966</v>
      </c>
      <c r="O221" s="546">
        <f>50000000+450000+694500+720000+400000+38913500+18086500+1891586+669880+2700000+720000+10956000</f>
        <v>126201966</v>
      </c>
      <c r="P221" s="546">
        <f>38913500+720000</f>
        <v>39633500</v>
      </c>
      <c r="Q221" s="546">
        <f t="shared" si="94"/>
        <v>126201966</v>
      </c>
      <c r="R221" s="419">
        <f t="shared" si="90"/>
        <v>126201966</v>
      </c>
      <c r="S221" s="633">
        <f>50000000+450000+694500</f>
        <v>51144500</v>
      </c>
      <c r="T221" s="421">
        <f t="shared" si="88"/>
        <v>-86568466</v>
      </c>
      <c r="U221" s="421"/>
      <c r="V221" s="421">
        <f t="shared" si="89"/>
        <v>0</v>
      </c>
    </row>
    <row r="222" spans="1:22" ht="47.25">
      <c r="A222" s="423" t="s">
        <v>924</v>
      </c>
      <c r="B222" s="423" t="s">
        <v>925</v>
      </c>
      <c r="C222" s="423" t="s">
        <v>358</v>
      </c>
      <c r="D222" s="631" t="s">
        <v>926</v>
      </c>
      <c r="E222" s="546">
        <f t="shared" si="92"/>
        <v>400000</v>
      </c>
      <c r="F222" s="546">
        <v>400000</v>
      </c>
      <c r="G222" s="546"/>
      <c r="H222" s="546"/>
      <c r="I222" s="546"/>
      <c r="J222" s="546">
        <f t="shared" si="93"/>
        <v>0</v>
      </c>
      <c r="K222" s="593"/>
      <c r="L222" s="546"/>
      <c r="M222" s="546"/>
      <c r="N222" s="546"/>
      <c r="O222" s="546"/>
      <c r="P222" s="546"/>
      <c r="Q222" s="546">
        <f t="shared" si="94"/>
        <v>400000</v>
      </c>
      <c r="R222" s="419">
        <f t="shared" si="90"/>
        <v>400000</v>
      </c>
      <c r="S222" s="420">
        <f t="shared" si="74"/>
        <v>0</v>
      </c>
      <c r="T222" s="421">
        <f t="shared" si="88"/>
        <v>0</v>
      </c>
      <c r="U222" s="421"/>
      <c r="V222" s="421">
        <f t="shared" si="89"/>
        <v>0</v>
      </c>
    </row>
    <row r="223" spans="1:22" ht="15.75">
      <c r="A223" s="423" t="s">
        <v>927</v>
      </c>
      <c r="B223" s="423" t="s">
        <v>928</v>
      </c>
      <c r="C223" s="423" t="s">
        <v>917</v>
      </c>
      <c r="D223" s="424" t="s">
        <v>929</v>
      </c>
      <c r="E223" s="546">
        <f t="shared" si="92"/>
        <v>6000000</v>
      </c>
      <c r="F223" s="546">
        <f>4000000+1000000+1000000</f>
        <v>6000000</v>
      </c>
      <c r="G223" s="546"/>
      <c r="H223" s="546"/>
      <c r="I223" s="546"/>
      <c r="J223" s="546">
        <f t="shared" si="93"/>
        <v>0</v>
      </c>
      <c r="K223" s="593"/>
      <c r="L223" s="546"/>
      <c r="M223" s="546"/>
      <c r="N223" s="546"/>
      <c r="O223" s="546"/>
      <c r="P223" s="546"/>
      <c r="Q223" s="546">
        <f t="shared" si="94"/>
        <v>6000000</v>
      </c>
      <c r="R223" s="419">
        <f t="shared" si="90"/>
        <v>6000000</v>
      </c>
      <c r="S223" s="420">
        <f t="shared" si="74"/>
        <v>0</v>
      </c>
      <c r="T223" s="421">
        <f t="shared" si="88"/>
        <v>0</v>
      </c>
      <c r="U223" s="421"/>
      <c r="V223" s="421">
        <f t="shared" si="89"/>
        <v>0</v>
      </c>
    </row>
    <row r="224" spans="1:22" s="64" customFormat="1" ht="31.5" hidden="1">
      <c r="A224" s="27" t="s">
        <v>715</v>
      </c>
      <c r="B224" s="27" t="s">
        <v>716</v>
      </c>
      <c r="C224" s="27" t="s">
        <v>478</v>
      </c>
      <c r="D224" s="26" t="s">
        <v>392</v>
      </c>
      <c r="E224" s="200">
        <f t="shared" si="92"/>
        <v>0</v>
      </c>
      <c r="F224" s="200"/>
      <c r="G224" s="200"/>
      <c r="H224" s="200"/>
      <c r="I224" s="200"/>
      <c r="J224" s="213">
        <f t="shared" si="93"/>
        <v>0</v>
      </c>
      <c r="K224" s="405"/>
      <c r="L224" s="212"/>
      <c r="M224" s="212"/>
      <c r="N224" s="200"/>
      <c r="O224" s="200"/>
      <c r="P224" s="200"/>
      <c r="Q224" s="213">
        <f t="shared" si="94"/>
        <v>0</v>
      </c>
      <c r="R224" s="419">
        <f t="shared" si="90"/>
        <v>0</v>
      </c>
      <c r="S224" s="169">
        <f t="shared" si="74"/>
        <v>0</v>
      </c>
      <c r="T224" s="339">
        <f t="shared" si="88"/>
        <v>0</v>
      </c>
      <c r="U224" s="339"/>
      <c r="V224" s="339">
        <f t="shared" si="89"/>
        <v>0</v>
      </c>
    </row>
    <row r="225" spans="1:22" s="610" customFormat="1" ht="47.25">
      <c r="A225" s="577" t="s">
        <v>713</v>
      </c>
      <c r="B225" s="577" t="s">
        <v>506</v>
      </c>
      <c r="C225" s="577"/>
      <c r="D225" s="578" t="s">
        <v>508</v>
      </c>
      <c r="E225" s="579">
        <f>SUM(E226:E228)</f>
        <v>0</v>
      </c>
      <c r="F225" s="579">
        <f t="shared" ref="F225:Q225" si="96">SUM(F226:F228)</f>
        <v>0</v>
      </c>
      <c r="G225" s="579">
        <f t="shared" si="96"/>
        <v>0</v>
      </c>
      <c r="H225" s="579">
        <f t="shared" si="96"/>
        <v>0</v>
      </c>
      <c r="I225" s="579">
        <f t="shared" si="96"/>
        <v>0</v>
      </c>
      <c r="J225" s="579">
        <f t="shared" si="96"/>
        <v>12808337</v>
      </c>
      <c r="K225" s="579">
        <f t="shared" si="96"/>
        <v>0</v>
      </c>
      <c r="L225" s="579">
        <f t="shared" si="96"/>
        <v>0</v>
      </c>
      <c r="M225" s="579">
        <f t="shared" si="96"/>
        <v>0</v>
      </c>
      <c r="N225" s="579">
        <f t="shared" si="96"/>
        <v>12808337</v>
      </c>
      <c r="O225" s="579">
        <f t="shared" si="96"/>
        <v>1284837</v>
      </c>
      <c r="P225" s="579">
        <f t="shared" si="96"/>
        <v>0</v>
      </c>
      <c r="Q225" s="579">
        <f t="shared" si="96"/>
        <v>12808337</v>
      </c>
      <c r="R225" s="419">
        <f t="shared" si="90"/>
        <v>12808337</v>
      </c>
      <c r="S225" s="420">
        <f t="shared" si="74"/>
        <v>0</v>
      </c>
      <c r="T225" s="421">
        <f t="shared" si="88"/>
        <v>-1284837</v>
      </c>
      <c r="U225" s="421"/>
      <c r="V225" s="421">
        <f t="shared" si="89"/>
        <v>-11523500</v>
      </c>
    </row>
    <row r="226" spans="1:22" s="634" customFormat="1" ht="47.25">
      <c r="A226" s="417" t="s">
        <v>714</v>
      </c>
      <c r="B226" s="417" t="s">
        <v>507</v>
      </c>
      <c r="C226" s="417" t="s">
        <v>9</v>
      </c>
      <c r="D226" s="581" t="s">
        <v>114</v>
      </c>
      <c r="E226" s="546">
        <f>F226+I226</f>
        <v>0</v>
      </c>
      <c r="F226" s="546"/>
      <c r="G226" s="546"/>
      <c r="H226" s="546"/>
      <c r="I226" s="546"/>
      <c r="J226" s="548">
        <f>+K226+N226</f>
        <v>1400000</v>
      </c>
      <c r="K226" s="593"/>
      <c r="L226" s="546"/>
      <c r="M226" s="546"/>
      <c r="N226" s="548">
        <v>1400000</v>
      </c>
      <c r="O226" s="546"/>
      <c r="P226" s="546"/>
      <c r="Q226" s="546">
        <f>J226+E226</f>
        <v>1400000</v>
      </c>
      <c r="R226" s="419">
        <f t="shared" si="90"/>
        <v>1400000</v>
      </c>
      <c r="S226" s="420">
        <f t="shared" si="74"/>
        <v>0</v>
      </c>
      <c r="T226" s="421">
        <f t="shared" si="88"/>
        <v>0</v>
      </c>
      <c r="U226" s="421"/>
      <c r="V226" s="421">
        <f t="shared" si="89"/>
        <v>-1400000</v>
      </c>
    </row>
    <row r="227" spans="1:22" s="635" customFormat="1" ht="15.75">
      <c r="A227" s="417" t="s">
        <v>717</v>
      </c>
      <c r="B227" s="417" t="s">
        <v>718</v>
      </c>
      <c r="C227" s="417" t="s">
        <v>29</v>
      </c>
      <c r="D227" s="581" t="s">
        <v>115</v>
      </c>
      <c r="E227" s="546">
        <f>F227+I227</f>
        <v>0</v>
      </c>
      <c r="F227" s="546"/>
      <c r="G227" s="546"/>
      <c r="H227" s="546"/>
      <c r="I227" s="546"/>
      <c r="J227" s="546">
        <f>+K227+N227</f>
        <v>5400000</v>
      </c>
      <c r="K227" s="593"/>
      <c r="L227" s="546"/>
      <c r="M227" s="546"/>
      <c r="N227" s="546">
        <f>5550000-150000</f>
        <v>5400000</v>
      </c>
      <c r="O227" s="546"/>
      <c r="P227" s="546"/>
      <c r="Q227" s="546">
        <f>J227+E227</f>
        <v>5400000</v>
      </c>
      <c r="R227" s="419">
        <f t="shared" si="90"/>
        <v>5400000</v>
      </c>
      <c r="S227" s="420">
        <f t="shared" si="74"/>
        <v>0</v>
      </c>
      <c r="T227" s="421">
        <f t="shared" si="88"/>
        <v>0</v>
      </c>
      <c r="U227" s="421"/>
      <c r="V227" s="421">
        <f t="shared" si="89"/>
        <v>-5400000</v>
      </c>
    </row>
    <row r="228" spans="1:22" s="616" customFormat="1" ht="47.25">
      <c r="A228" s="636">
        <v>1618313</v>
      </c>
      <c r="B228" s="636">
        <v>8313</v>
      </c>
      <c r="C228" s="417" t="s">
        <v>483</v>
      </c>
      <c r="D228" s="581" t="s">
        <v>243</v>
      </c>
      <c r="E228" s="546">
        <f>+F228+I228</f>
        <v>0</v>
      </c>
      <c r="F228" s="546"/>
      <c r="G228" s="546"/>
      <c r="H228" s="546"/>
      <c r="I228" s="546"/>
      <c r="J228" s="546">
        <f>+K228+N228</f>
        <v>6008337</v>
      </c>
      <c r="K228" s="630"/>
      <c r="L228" s="547"/>
      <c r="M228" s="547"/>
      <c r="N228" s="637">
        <f>4723500+1070000+202637+12200</f>
        <v>6008337</v>
      </c>
      <c r="O228" s="547">
        <f>1070000+202637+12200</f>
        <v>1284837</v>
      </c>
      <c r="P228" s="547"/>
      <c r="Q228" s="546">
        <f>J228+E228</f>
        <v>6008337</v>
      </c>
      <c r="R228" s="419">
        <f t="shared" si="90"/>
        <v>6008337</v>
      </c>
      <c r="S228" s="420">
        <f>1070000+202637</f>
        <v>1272637</v>
      </c>
      <c r="T228" s="421">
        <f t="shared" si="88"/>
        <v>-1284837</v>
      </c>
      <c r="U228" s="421"/>
      <c r="V228" s="421">
        <f t="shared" si="89"/>
        <v>-4723500</v>
      </c>
    </row>
    <row r="229" spans="1:22" s="17" customFormat="1" ht="31.5" hidden="1">
      <c r="A229" s="24">
        <v>1618330</v>
      </c>
      <c r="B229" s="24">
        <v>8330</v>
      </c>
      <c r="C229" s="27" t="s">
        <v>484</v>
      </c>
      <c r="D229" s="26" t="s">
        <v>719</v>
      </c>
      <c r="E229" s="35">
        <f>+F229+I229</f>
        <v>0</v>
      </c>
      <c r="F229" s="35"/>
      <c r="G229" s="35"/>
      <c r="H229" s="35"/>
      <c r="I229" s="35"/>
      <c r="J229" s="200">
        <f>+K229+N229</f>
        <v>0</v>
      </c>
      <c r="K229" s="407"/>
      <c r="L229" s="375"/>
      <c r="M229" s="375"/>
      <c r="N229" s="375">
        <f>1740000-1740000</f>
        <v>0</v>
      </c>
      <c r="O229" s="375"/>
      <c r="P229" s="375"/>
      <c r="Q229" s="200">
        <f>J229+E229</f>
        <v>0</v>
      </c>
      <c r="R229" s="419">
        <f t="shared" si="90"/>
        <v>0</v>
      </c>
      <c r="S229" s="169">
        <f t="shared" si="74"/>
        <v>0</v>
      </c>
      <c r="T229" s="339">
        <f t="shared" si="88"/>
        <v>0</v>
      </c>
      <c r="U229" s="339"/>
      <c r="V229" s="339">
        <f t="shared" si="89"/>
        <v>0</v>
      </c>
    </row>
    <row r="230" spans="1:22" s="624" customFormat="1" ht="63">
      <c r="A230" s="598" t="s">
        <v>1024</v>
      </c>
      <c r="B230" s="598"/>
      <c r="C230" s="598"/>
      <c r="D230" s="589" t="s">
        <v>1029</v>
      </c>
      <c r="E230" s="590">
        <f>E232+E235+E237+E234+E236+E238</f>
        <v>700000</v>
      </c>
      <c r="F230" s="590">
        <f t="shared" ref="F230:Q230" si="97">F232+F235+F237+F234+F236+F238</f>
        <v>700000</v>
      </c>
      <c r="G230" s="590">
        <f t="shared" si="97"/>
        <v>0</v>
      </c>
      <c r="H230" s="590">
        <f t="shared" si="97"/>
        <v>0</v>
      </c>
      <c r="I230" s="590">
        <f t="shared" si="97"/>
        <v>0</v>
      </c>
      <c r="J230" s="590">
        <f t="shared" si="97"/>
        <v>790239726</v>
      </c>
      <c r="K230" s="590">
        <f t="shared" si="97"/>
        <v>581118106</v>
      </c>
      <c r="L230" s="590">
        <f t="shared" si="97"/>
        <v>0</v>
      </c>
      <c r="M230" s="590">
        <f t="shared" si="97"/>
        <v>0</v>
      </c>
      <c r="N230" s="590">
        <f t="shared" si="97"/>
        <v>209121620</v>
      </c>
      <c r="O230" s="590">
        <f t="shared" si="97"/>
        <v>100000</v>
      </c>
      <c r="P230" s="590">
        <f t="shared" si="97"/>
        <v>90000</v>
      </c>
      <c r="Q230" s="590">
        <f t="shared" si="97"/>
        <v>790939726</v>
      </c>
      <c r="R230" s="419">
        <f t="shared" si="90"/>
        <v>790939726</v>
      </c>
      <c r="S230" s="420">
        <f t="shared" ref="S230:S237" si="98">R230-Q230</f>
        <v>0</v>
      </c>
      <c r="T230" s="421">
        <f t="shared" si="88"/>
        <v>-10000</v>
      </c>
      <c r="U230" s="421"/>
      <c r="V230" s="421">
        <f t="shared" si="89"/>
        <v>-209021620</v>
      </c>
    </row>
    <row r="231" spans="1:22" s="624" customFormat="1" ht="63">
      <c r="A231" s="598" t="s">
        <v>1025</v>
      </c>
      <c r="B231" s="598"/>
      <c r="C231" s="598"/>
      <c r="D231" s="589" t="s">
        <v>1029</v>
      </c>
      <c r="E231" s="590">
        <f>E232+E233+E237+E238</f>
        <v>700000</v>
      </c>
      <c r="F231" s="590">
        <f t="shared" ref="F231:Q231" si="99">F232+F233+F237+F238</f>
        <v>700000</v>
      </c>
      <c r="G231" s="590">
        <f t="shared" si="99"/>
        <v>0</v>
      </c>
      <c r="H231" s="590">
        <f t="shared" si="99"/>
        <v>0</v>
      </c>
      <c r="I231" s="590">
        <f t="shared" si="99"/>
        <v>0</v>
      </c>
      <c r="J231" s="590">
        <f t="shared" si="99"/>
        <v>790239726</v>
      </c>
      <c r="K231" s="590">
        <f t="shared" si="99"/>
        <v>581118106</v>
      </c>
      <c r="L231" s="590">
        <f t="shared" si="99"/>
        <v>0</v>
      </c>
      <c r="M231" s="590">
        <f t="shared" si="99"/>
        <v>0</v>
      </c>
      <c r="N231" s="590">
        <f t="shared" si="99"/>
        <v>209121620</v>
      </c>
      <c r="O231" s="590">
        <f t="shared" si="99"/>
        <v>100000</v>
      </c>
      <c r="P231" s="590">
        <f t="shared" si="99"/>
        <v>90000</v>
      </c>
      <c r="Q231" s="590">
        <f t="shared" si="99"/>
        <v>790939726</v>
      </c>
      <c r="R231" s="419">
        <f t="shared" si="90"/>
        <v>790939726</v>
      </c>
      <c r="S231" s="420">
        <f t="shared" si="98"/>
        <v>0</v>
      </c>
      <c r="T231" s="421">
        <f t="shared" si="88"/>
        <v>-10000</v>
      </c>
      <c r="U231" s="421"/>
      <c r="V231" s="421">
        <f t="shared" si="89"/>
        <v>-209021620</v>
      </c>
    </row>
    <row r="232" spans="1:22" s="17" customFormat="1" ht="31.5" hidden="1">
      <c r="A232" s="27" t="s">
        <v>1026</v>
      </c>
      <c r="B232" s="27" t="s">
        <v>750</v>
      </c>
      <c r="C232" s="27" t="s">
        <v>479</v>
      </c>
      <c r="D232" s="26" t="s">
        <v>751</v>
      </c>
      <c r="E232" s="397">
        <f>F232+I232</f>
        <v>0</v>
      </c>
      <c r="F232" s="397"/>
      <c r="G232" s="35"/>
      <c r="H232" s="35"/>
      <c r="I232" s="35"/>
      <c r="J232" s="35">
        <f>+K232+N232</f>
        <v>0</v>
      </c>
      <c r="K232" s="407"/>
      <c r="L232" s="375"/>
      <c r="M232" s="375"/>
      <c r="N232" s="35"/>
      <c r="O232" s="375"/>
      <c r="P232" s="375"/>
      <c r="Q232" s="35">
        <f>J232+E232</f>
        <v>0</v>
      </c>
      <c r="R232" s="419">
        <f t="shared" si="90"/>
        <v>0</v>
      </c>
      <c r="S232" s="169">
        <f t="shared" si="98"/>
        <v>0</v>
      </c>
      <c r="T232" s="339">
        <f t="shared" si="88"/>
        <v>0</v>
      </c>
      <c r="U232" s="339"/>
      <c r="V232" s="339">
        <f t="shared" si="89"/>
        <v>0</v>
      </c>
    </row>
    <row r="233" spans="1:22" s="610" customFormat="1" ht="47.25">
      <c r="A233" s="577" t="s">
        <v>1027</v>
      </c>
      <c r="B233" s="577" t="s">
        <v>752</v>
      </c>
      <c r="C233" s="577"/>
      <c r="D233" s="578" t="s">
        <v>753</v>
      </c>
      <c r="E233" s="579">
        <f>SUM(E234:E236)</f>
        <v>700000</v>
      </c>
      <c r="F233" s="579">
        <f t="shared" ref="F233:Q233" si="100">SUM(F234:F236)</f>
        <v>700000</v>
      </c>
      <c r="G233" s="579">
        <f t="shared" si="100"/>
        <v>0</v>
      </c>
      <c r="H233" s="579">
        <f t="shared" si="100"/>
        <v>0</v>
      </c>
      <c r="I233" s="579">
        <f t="shared" si="100"/>
        <v>0</v>
      </c>
      <c r="J233" s="579">
        <f t="shared" si="100"/>
        <v>784552184</v>
      </c>
      <c r="K233" s="579">
        <f t="shared" si="100"/>
        <v>575430564</v>
      </c>
      <c r="L233" s="579">
        <f t="shared" si="100"/>
        <v>0</v>
      </c>
      <c r="M233" s="579">
        <f t="shared" si="100"/>
        <v>0</v>
      </c>
      <c r="N233" s="579">
        <f t="shared" si="100"/>
        <v>209121620</v>
      </c>
      <c r="O233" s="579">
        <f t="shared" si="100"/>
        <v>100000</v>
      </c>
      <c r="P233" s="579">
        <f t="shared" si="100"/>
        <v>90000</v>
      </c>
      <c r="Q233" s="579">
        <f t="shared" si="100"/>
        <v>785252184</v>
      </c>
      <c r="R233" s="419">
        <f t="shared" si="90"/>
        <v>785252184</v>
      </c>
      <c r="S233" s="420">
        <f t="shared" si="98"/>
        <v>0</v>
      </c>
      <c r="T233" s="421">
        <f t="shared" si="88"/>
        <v>-10000</v>
      </c>
      <c r="U233" s="421"/>
      <c r="V233" s="421">
        <f t="shared" si="89"/>
        <v>-209021620</v>
      </c>
    </row>
    <row r="234" spans="1:22" s="616" customFormat="1" ht="78.75">
      <c r="A234" s="636">
        <v>1917461</v>
      </c>
      <c r="B234" s="636">
        <v>7461</v>
      </c>
      <c r="C234" s="417" t="s">
        <v>479</v>
      </c>
      <c r="D234" s="581" t="s">
        <v>937</v>
      </c>
      <c r="E234" s="548">
        <f>F234+I234</f>
        <v>700000</v>
      </c>
      <c r="F234" s="548">
        <f>400000+300000</f>
        <v>700000</v>
      </c>
      <c r="G234" s="546"/>
      <c r="H234" s="546"/>
      <c r="I234" s="546"/>
      <c r="J234" s="546">
        <f>+K234+N234</f>
        <v>100000</v>
      </c>
      <c r="K234" s="630"/>
      <c r="L234" s="547"/>
      <c r="M234" s="547"/>
      <c r="N234" s="546">
        <f>290000+10000-200000</f>
        <v>100000</v>
      </c>
      <c r="O234" s="547">
        <f>290000+10000-200000</f>
        <v>100000</v>
      </c>
      <c r="P234" s="547">
        <v>90000</v>
      </c>
      <c r="Q234" s="546">
        <f>J234+E234</f>
        <v>800000</v>
      </c>
      <c r="R234" s="419">
        <f t="shared" si="90"/>
        <v>800000</v>
      </c>
      <c r="S234" s="420">
        <v>200000</v>
      </c>
      <c r="T234" s="421">
        <f t="shared" si="88"/>
        <v>-10000</v>
      </c>
      <c r="U234" s="421"/>
      <c r="V234" s="421">
        <f t="shared" si="89"/>
        <v>0</v>
      </c>
    </row>
    <row r="235" spans="1:22" s="616" customFormat="1" ht="78.75">
      <c r="A235" s="636">
        <v>1917462</v>
      </c>
      <c r="B235" s="636">
        <v>7462</v>
      </c>
      <c r="C235" s="417" t="s">
        <v>479</v>
      </c>
      <c r="D235" s="581" t="s">
        <v>946</v>
      </c>
      <c r="E235" s="548">
        <f>F235+I235</f>
        <v>0</v>
      </c>
      <c r="F235" s="548"/>
      <c r="G235" s="546"/>
      <c r="H235" s="546"/>
      <c r="I235" s="546"/>
      <c r="J235" s="546">
        <f>+K235+N235</f>
        <v>611469758</v>
      </c>
      <c r="K235" s="638">
        <f>392000000-714342-4973200+29777200</f>
        <v>416089658</v>
      </c>
      <c r="L235" s="637"/>
      <c r="M235" s="637"/>
      <c r="N235" s="548">
        <f>225157300+392000000-392000000-29777200</f>
        <v>195380100</v>
      </c>
      <c r="O235" s="547"/>
      <c r="P235" s="547"/>
      <c r="Q235" s="546">
        <f>J235+E235</f>
        <v>611469758</v>
      </c>
      <c r="R235" s="419">
        <f t="shared" si="90"/>
        <v>611469758</v>
      </c>
      <c r="S235" s="420">
        <f t="shared" si="98"/>
        <v>0</v>
      </c>
      <c r="T235" s="421">
        <f t="shared" si="88"/>
        <v>0</v>
      </c>
      <c r="U235" s="421"/>
      <c r="V235" s="421">
        <f t="shared" si="89"/>
        <v>-195380100</v>
      </c>
    </row>
    <row r="236" spans="1:22" s="616" customFormat="1" ht="189">
      <c r="A236" s="636">
        <v>1917464</v>
      </c>
      <c r="B236" s="636">
        <v>7464</v>
      </c>
      <c r="C236" s="417" t="s">
        <v>479</v>
      </c>
      <c r="D236" s="581" t="s">
        <v>1820</v>
      </c>
      <c r="E236" s="548">
        <f>F236+I236</f>
        <v>0</v>
      </c>
      <c r="F236" s="548"/>
      <c r="G236" s="546"/>
      <c r="H236" s="546"/>
      <c r="I236" s="546"/>
      <c r="J236" s="546">
        <f>+K236+N236</f>
        <v>172982426</v>
      </c>
      <c r="K236" s="638">
        <f>116782426+5833280+36725200</f>
        <v>159340906</v>
      </c>
      <c r="L236" s="637"/>
      <c r="M236" s="637"/>
      <c r="N236" s="548">
        <v>13641520</v>
      </c>
      <c r="O236" s="547"/>
      <c r="P236" s="547"/>
      <c r="Q236" s="546">
        <f>J236+E236</f>
        <v>172982426</v>
      </c>
      <c r="R236" s="419">
        <f t="shared" si="90"/>
        <v>172982426</v>
      </c>
      <c r="S236" s="420"/>
      <c r="T236" s="421">
        <f t="shared" si="88"/>
        <v>0</v>
      </c>
      <c r="U236" s="421"/>
      <c r="V236" s="421">
        <f t="shared" si="89"/>
        <v>-13641520</v>
      </c>
    </row>
    <row r="237" spans="1:22" s="64" customFormat="1" ht="31.5" hidden="1">
      <c r="A237" s="27" t="s">
        <v>1028</v>
      </c>
      <c r="B237" s="27" t="s">
        <v>485</v>
      </c>
      <c r="C237" s="27" t="s">
        <v>479</v>
      </c>
      <c r="D237" s="26" t="s">
        <v>754</v>
      </c>
      <c r="E237" s="408">
        <f>F237+I237</f>
        <v>0</v>
      </c>
      <c r="F237" s="404"/>
      <c r="G237" s="200"/>
      <c r="H237" s="200"/>
      <c r="I237" s="200"/>
      <c r="J237" s="350">
        <f>+K237+N237</f>
        <v>0</v>
      </c>
      <c r="K237" s="409"/>
      <c r="L237" s="374"/>
      <c r="M237" s="374"/>
      <c r="N237" s="374"/>
      <c r="O237" s="374"/>
      <c r="P237" s="374"/>
      <c r="Q237" s="350">
        <f>J237+E237</f>
        <v>0</v>
      </c>
      <c r="R237" s="419">
        <f t="shared" si="90"/>
        <v>0</v>
      </c>
      <c r="S237" s="169">
        <f t="shared" si="98"/>
        <v>0</v>
      </c>
      <c r="T237" s="339">
        <f t="shared" si="88"/>
        <v>0</v>
      </c>
      <c r="U237" s="339"/>
      <c r="V237" s="339">
        <f t="shared" si="89"/>
        <v>0</v>
      </c>
    </row>
    <row r="238" spans="1:22" ht="173.25">
      <c r="A238" s="423" t="s">
        <v>1146</v>
      </c>
      <c r="B238" s="423" t="s">
        <v>772</v>
      </c>
      <c r="C238" s="423" t="s">
        <v>10</v>
      </c>
      <c r="D238" s="584" t="s">
        <v>1147</v>
      </c>
      <c r="E238" s="548">
        <f>F238+I238</f>
        <v>0</v>
      </c>
      <c r="F238" s="551"/>
      <c r="G238" s="549"/>
      <c r="H238" s="549"/>
      <c r="I238" s="549"/>
      <c r="J238" s="546">
        <f>+K238+N238</f>
        <v>5687542</v>
      </c>
      <c r="K238" s="594">
        <f>422317+292025+4973200</f>
        <v>5687542</v>
      </c>
      <c r="L238" s="550"/>
      <c r="M238" s="550"/>
      <c r="N238" s="550"/>
      <c r="O238" s="550"/>
      <c r="P238" s="550"/>
      <c r="Q238" s="546">
        <f>J238+E238</f>
        <v>5687542</v>
      </c>
      <c r="R238" s="419">
        <f t="shared" si="90"/>
        <v>5687542</v>
      </c>
      <c r="S238" s="420"/>
      <c r="T238" s="421">
        <f t="shared" si="88"/>
        <v>0</v>
      </c>
      <c r="U238" s="421"/>
      <c r="V238" s="421">
        <f t="shared" si="89"/>
        <v>0</v>
      </c>
    </row>
    <row r="239" spans="1:22" s="600" customFormat="1" ht="78.75">
      <c r="A239" s="598" t="s">
        <v>720</v>
      </c>
      <c r="B239" s="598"/>
      <c r="C239" s="598"/>
      <c r="D239" s="589" t="s">
        <v>66</v>
      </c>
      <c r="E239" s="590">
        <f>+E245+E243+E241</f>
        <v>2568000</v>
      </c>
      <c r="F239" s="590">
        <f t="shared" ref="F239:Q239" si="101">+F245+F243+F241</f>
        <v>2568000</v>
      </c>
      <c r="G239" s="590">
        <f t="shared" si="101"/>
        <v>0</v>
      </c>
      <c r="H239" s="590">
        <f t="shared" si="101"/>
        <v>58500</v>
      </c>
      <c r="I239" s="590">
        <f t="shared" si="101"/>
        <v>0</v>
      </c>
      <c r="J239" s="590">
        <f t="shared" si="101"/>
        <v>102000</v>
      </c>
      <c r="K239" s="590">
        <f t="shared" si="101"/>
        <v>0</v>
      </c>
      <c r="L239" s="590">
        <f t="shared" si="101"/>
        <v>0</v>
      </c>
      <c r="M239" s="590">
        <f t="shared" si="101"/>
        <v>0</v>
      </c>
      <c r="N239" s="590">
        <f t="shared" si="101"/>
        <v>102000</v>
      </c>
      <c r="O239" s="590">
        <f t="shared" si="101"/>
        <v>102000</v>
      </c>
      <c r="P239" s="590">
        <f t="shared" si="101"/>
        <v>102000</v>
      </c>
      <c r="Q239" s="590">
        <f t="shared" si="101"/>
        <v>2670000</v>
      </c>
      <c r="R239" s="419">
        <f t="shared" si="90"/>
        <v>2670000</v>
      </c>
      <c r="S239" s="420">
        <f t="shared" si="74"/>
        <v>0</v>
      </c>
      <c r="T239" s="421">
        <f t="shared" si="88"/>
        <v>0</v>
      </c>
      <c r="U239" s="421"/>
      <c r="V239" s="421">
        <f t="shared" si="89"/>
        <v>0</v>
      </c>
    </row>
    <row r="240" spans="1:22" s="600" customFormat="1" ht="78.75">
      <c r="A240" s="598" t="s">
        <v>721</v>
      </c>
      <c r="B240" s="598"/>
      <c r="C240" s="598"/>
      <c r="D240" s="589" t="s">
        <v>66</v>
      </c>
      <c r="E240" s="590">
        <f>E242+E244+E241</f>
        <v>2568000</v>
      </c>
      <c r="F240" s="590">
        <f t="shared" ref="F240:Q240" si="102">F242+F244+F241</f>
        <v>2568000</v>
      </c>
      <c r="G240" s="590">
        <f t="shared" si="102"/>
        <v>0</v>
      </c>
      <c r="H240" s="590">
        <f t="shared" si="102"/>
        <v>58500</v>
      </c>
      <c r="I240" s="590">
        <f t="shared" si="102"/>
        <v>0</v>
      </c>
      <c r="J240" s="590">
        <f t="shared" si="102"/>
        <v>102000</v>
      </c>
      <c r="K240" s="590">
        <f t="shared" si="102"/>
        <v>0</v>
      </c>
      <c r="L240" s="590">
        <f t="shared" si="102"/>
        <v>0</v>
      </c>
      <c r="M240" s="590">
        <f t="shared" si="102"/>
        <v>0</v>
      </c>
      <c r="N240" s="590">
        <f t="shared" si="102"/>
        <v>102000</v>
      </c>
      <c r="O240" s="590">
        <f t="shared" si="102"/>
        <v>102000</v>
      </c>
      <c r="P240" s="590">
        <f t="shared" si="102"/>
        <v>102000</v>
      </c>
      <c r="Q240" s="590">
        <f t="shared" si="102"/>
        <v>2670000</v>
      </c>
      <c r="R240" s="419">
        <f t="shared" si="90"/>
        <v>2670000</v>
      </c>
      <c r="S240" s="420">
        <f t="shared" si="74"/>
        <v>0</v>
      </c>
      <c r="T240" s="421">
        <f t="shared" si="88"/>
        <v>0</v>
      </c>
      <c r="U240" s="421"/>
      <c r="V240" s="421">
        <f t="shared" si="89"/>
        <v>0</v>
      </c>
    </row>
    <row r="241" spans="1:22" ht="31.5">
      <c r="A241" s="423" t="s">
        <v>930</v>
      </c>
      <c r="B241" s="423" t="s">
        <v>10</v>
      </c>
      <c r="C241" s="423" t="s">
        <v>13</v>
      </c>
      <c r="D241" s="576" t="s">
        <v>513</v>
      </c>
      <c r="E241" s="549">
        <f>F241+I241</f>
        <v>2368000</v>
      </c>
      <c r="F241" s="549">
        <f>2450000-82000</f>
        <v>2368000</v>
      </c>
      <c r="G241" s="549"/>
      <c r="H241" s="549">
        <v>34000</v>
      </c>
      <c r="I241" s="549"/>
      <c r="J241" s="549">
        <f>+K241+N241</f>
        <v>102000</v>
      </c>
      <c r="K241" s="549"/>
      <c r="L241" s="549"/>
      <c r="M241" s="549"/>
      <c r="N241" s="549">
        <f>20000+82000</f>
        <v>102000</v>
      </c>
      <c r="O241" s="549">
        <f>20000+82000</f>
        <v>102000</v>
      </c>
      <c r="P241" s="549">
        <f>20000+82000</f>
        <v>102000</v>
      </c>
      <c r="Q241" s="549">
        <f>+J241+E241</f>
        <v>2470000</v>
      </c>
      <c r="R241" s="419">
        <f t="shared" si="90"/>
        <v>2470000</v>
      </c>
      <c r="S241" s="420">
        <f t="shared" si="74"/>
        <v>0</v>
      </c>
      <c r="T241" s="421">
        <f t="shared" si="88"/>
        <v>0</v>
      </c>
      <c r="U241" s="421"/>
      <c r="V241" s="421">
        <f t="shared" si="89"/>
        <v>0</v>
      </c>
    </row>
    <row r="242" spans="1:22" s="175" customFormat="1" ht="31.5" hidden="1">
      <c r="A242" s="165" t="s">
        <v>722</v>
      </c>
      <c r="B242" s="165" t="s">
        <v>723</v>
      </c>
      <c r="C242" s="165"/>
      <c r="D242" s="162" t="s">
        <v>196</v>
      </c>
      <c r="E242" s="202">
        <f>E243</f>
        <v>0</v>
      </c>
      <c r="F242" s="202">
        <f t="shared" ref="F242:P242" si="103">F243</f>
        <v>0</v>
      </c>
      <c r="G242" s="202">
        <f t="shared" si="103"/>
        <v>0</v>
      </c>
      <c r="H242" s="202">
        <f t="shared" si="103"/>
        <v>0</v>
      </c>
      <c r="I242" s="202">
        <f t="shared" si="103"/>
        <v>0</v>
      </c>
      <c r="J242" s="202">
        <f t="shared" si="103"/>
        <v>0</v>
      </c>
      <c r="K242" s="202">
        <f t="shared" si="103"/>
        <v>0</v>
      </c>
      <c r="L242" s="202">
        <f t="shared" si="103"/>
        <v>0</v>
      </c>
      <c r="M242" s="202">
        <f t="shared" si="103"/>
        <v>0</v>
      </c>
      <c r="N242" s="202">
        <f t="shared" si="103"/>
        <v>0</v>
      </c>
      <c r="O242" s="202">
        <f t="shared" si="103"/>
        <v>0</v>
      </c>
      <c r="P242" s="202">
        <f t="shared" si="103"/>
        <v>0</v>
      </c>
      <c r="Q242" s="202">
        <f>+J242+E242</f>
        <v>0</v>
      </c>
      <c r="R242" s="419">
        <f t="shared" si="90"/>
        <v>0</v>
      </c>
      <c r="S242" s="169">
        <f t="shared" si="74"/>
        <v>0</v>
      </c>
      <c r="T242" s="339">
        <f t="shared" si="88"/>
        <v>0</v>
      </c>
      <c r="U242" s="339"/>
      <c r="V242" s="339">
        <f t="shared" si="89"/>
        <v>0</v>
      </c>
    </row>
    <row r="243" spans="1:22" s="187" customFormat="1" ht="78.75" hidden="1">
      <c r="A243" s="179" t="s">
        <v>724</v>
      </c>
      <c r="B243" s="179" t="s">
        <v>725</v>
      </c>
      <c r="C243" s="179" t="s">
        <v>211</v>
      </c>
      <c r="D243" s="29" t="s">
        <v>977</v>
      </c>
      <c r="E243" s="203">
        <f>F243+I243</f>
        <v>0</v>
      </c>
      <c r="F243" s="203">
        <f>500000-500000</f>
        <v>0</v>
      </c>
      <c r="G243" s="203"/>
      <c r="H243" s="203"/>
      <c r="I243" s="203"/>
      <c r="J243" s="203">
        <f>+K243+N243</f>
        <v>0</v>
      </c>
      <c r="K243" s="203"/>
      <c r="L243" s="203"/>
      <c r="M243" s="203"/>
      <c r="N243" s="203"/>
      <c r="O243" s="203"/>
      <c r="P243" s="203"/>
      <c r="Q243" s="203">
        <f>+J243+E243</f>
        <v>0</v>
      </c>
      <c r="R243" s="419">
        <f t="shared" si="90"/>
        <v>0</v>
      </c>
      <c r="S243" s="169">
        <f t="shared" si="74"/>
        <v>0</v>
      </c>
      <c r="T243" s="339">
        <f t="shared" si="88"/>
        <v>0</v>
      </c>
      <c r="U243" s="339"/>
      <c r="V243" s="339">
        <f t="shared" si="89"/>
        <v>0</v>
      </c>
    </row>
    <row r="244" spans="1:22" s="610" customFormat="1" ht="15.75">
      <c r="A244" s="577" t="s">
        <v>932</v>
      </c>
      <c r="B244" s="577" t="s">
        <v>931</v>
      </c>
      <c r="C244" s="577"/>
      <c r="D244" s="578" t="s">
        <v>497</v>
      </c>
      <c r="E244" s="579">
        <f>E245</f>
        <v>200000</v>
      </c>
      <c r="F244" s="579">
        <f t="shared" ref="F244:P244" si="104">F245</f>
        <v>200000</v>
      </c>
      <c r="G244" s="579">
        <f t="shared" si="104"/>
        <v>0</v>
      </c>
      <c r="H244" s="579">
        <f t="shared" si="104"/>
        <v>24500</v>
      </c>
      <c r="I244" s="579">
        <f t="shared" si="104"/>
        <v>0</v>
      </c>
      <c r="J244" s="579">
        <f t="shared" si="104"/>
        <v>0</v>
      </c>
      <c r="K244" s="579">
        <f t="shared" si="104"/>
        <v>0</v>
      </c>
      <c r="L244" s="579">
        <f t="shared" si="104"/>
        <v>0</v>
      </c>
      <c r="M244" s="579">
        <f t="shared" si="104"/>
        <v>0</v>
      </c>
      <c r="N244" s="579">
        <f t="shared" si="104"/>
        <v>0</v>
      </c>
      <c r="O244" s="579">
        <f t="shared" si="104"/>
        <v>0</v>
      </c>
      <c r="P244" s="579">
        <f t="shared" si="104"/>
        <v>0</v>
      </c>
      <c r="Q244" s="579">
        <f>+J244+E244</f>
        <v>200000</v>
      </c>
      <c r="R244" s="419">
        <f t="shared" si="90"/>
        <v>200000</v>
      </c>
      <c r="S244" s="420">
        <f t="shared" si="74"/>
        <v>0</v>
      </c>
      <c r="T244" s="421">
        <f t="shared" si="88"/>
        <v>0</v>
      </c>
      <c r="U244" s="421"/>
      <c r="V244" s="421">
        <f t="shared" si="89"/>
        <v>0</v>
      </c>
    </row>
    <row r="245" spans="1:22" s="634" customFormat="1" ht="47.25">
      <c r="A245" s="417" t="s">
        <v>962</v>
      </c>
      <c r="B245" s="417" t="s">
        <v>963</v>
      </c>
      <c r="C245" s="417" t="s">
        <v>8</v>
      </c>
      <c r="D245" s="581" t="s">
        <v>498</v>
      </c>
      <c r="E245" s="548">
        <f>F245+I245</f>
        <v>200000</v>
      </c>
      <c r="F245" s="548">
        <f>200000</f>
        <v>200000</v>
      </c>
      <c r="G245" s="546"/>
      <c r="H245" s="546">
        <v>24500</v>
      </c>
      <c r="I245" s="546"/>
      <c r="J245" s="546">
        <f>+K245+N245</f>
        <v>0</v>
      </c>
      <c r="K245" s="546"/>
      <c r="L245" s="546"/>
      <c r="M245" s="546"/>
      <c r="N245" s="546"/>
      <c r="O245" s="546"/>
      <c r="P245" s="546"/>
      <c r="Q245" s="546">
        <f>+J245+E245</f>
        <v>200000</v>
      </c>
      <c r="R245" s="419">
        <f t="shared" si="90"/>
        <v>200000</v>
      </c>
      <c r="S245" s="420">
        <f t="shared" si="74"/>
        <v>0</v>
      </c>
      <c r="T245" s="421">
        <f t="shared" si="88"/>
        <v>0</v>
      </c>
      <c r="U245" s="421"/>
      <c r="V245" s="421">
        <f t="shared" si="89"/>
        <v>0</v>
      </c>
    </row>
    <row r="246" spans="1:22" s="176" customFormat="1" ht="63" hidden="1">
      <c r="A246" s="172" t="s">
        <v>222</v>
      </c>
      <c r="B246" s="172"/>
      <c r="C246" s="172"/>
      <c r="D246" s="171" t="s">
        <v>65</v>
      </c>
      <c r="E246" s="195">
        <f>SUBTOTAL(9,E248:E249)</f>
        <v>0</v>
      </c>
      <c r="F246" s="195">
        <f t="shared" ref="F246:P246" si="105">SUBTOTAL(9,F248:F249)</f>
        <v>0</v>
      </c>
      <c r="G246" s="195">
        <f t="shared" si="105"/>
        <v>0</v>
      </c>
      <c r="H246" s="195">
        <f t="shared" si="105"/>
        <v>0</v>
      </c>
      <c r="I246" s="195">
        <f t="shared" si="105"/>
        <v>0</v>
      </c>
      <c r="J246" s="195">
        <f t="shared" si="105"/>
        <v>0</v>
      </c>
      <c r="K246" s="195">
        <f t="shared" si="105"/>
        <v>0</v>
      </c>
      <c r="L246" s="195">
        <f t="shared" si="105"/>
        <v>0</v>
      </c>
      <c r="M246" s="195">
        <f t="shared" si="105"/>
        <v>0</v>
      </c>
      <c r="N246" s="195">
        <f t="shared" si="105"/>
        <v>0</v>
      </c>
      <c r="O246" s="195">
        <f t="shared" si="105"/>
        <v>0</v>
      </c>
      <c r="P246" s="195">
        <f t="shared" si="105"/>
        <v>0</v>
      </c>
      <c r="Q246" s="195">
        <f>SUBTOTAL(9,Q248:Q249)</f>
        <v>0</v>
      </c>
      <c r="R246" s="419">
        <f t="shared" si="90"/>
        <v>0</v>
      </c>
      <c r="S246" s="169">
        <f t="shared" si="74"/>
        <v>0</v>
      </c>
      <c r="T246" s="339">
        <f t="shared" si="88"/>
        <v>0</v>
      </c>
      <c r="U246" s="339"/>
      <c r="V246" s="339">
        <f t="shared" si="89"/>
        <v>0</v>
      </c>
    </row>
    <row r="247" spans="1:22" s="174" customFormat="1" ht="63" hidden="1">
      <c r="A247" s="172" t="s">
        <v>223</v>
      </c>
      <c r="B247" s="173"/>
      <c r="C247" s="173"/>
      <c r="D247" s="171" t="s">
        <v>65</v>
      </c>
      <c r="E247" s="195">
        <f>E248+E249</f>
        <v>0</v>
      </c>
      <c r="F247" s="195">
        <f t="shared" ref="F247:P247" si="106">F248+F249</f>
        <v>0</v>
      </c>
      <c r="G247" s="195">
        <f t="shared" si="106"/>
        <v>0</v>
      </c>
      <c r="H247" s="195">
        <f t="shared" si="106"/>
        <v>0</v>
      </c>
      <c r="I247" s="195">
        <f t="shared" si="106"/>
        <v>0</v>
      </c>
      <c r="J247" s="195">
        <f t="shared" si="106"/>
        <v>0</v>
      </c>
      <c r="K247" s="195">
        <f t="shared" si="106"/>
        <v>0</v>
      </c>
      <c r="L247" s="195">
        <f t="shared" si="106"/>
        <v>0</v>
      </c>
      <c r="M247" s="195">
        <f t="shared" si="106"/>
        <v>0</v>
      </c>
      <c r="N247" s="195">
        <f t="shared" si="106"/>
        <v>0</v>
      </c>
      <c r="O247" s="195">
        <f t="shared" si="106"/>
        <v>0</v>
      </c>
      <c r="P247" s="195">
        <f t="shared" si="106"/>
        <v>0</v>
      </c>
      <c r="Q247" s="195">
        <f>Q248+Q249</f>
        <v>0</v>
      </c>
      <c r="R247" s="419">
        <f t="shared" si="90"/>
        <v>0</v>
      </c>
      <c r="S247" s="169">
        <f t="shared" si="74"/>
        <v>0</v>
      </c>
      <c r="T247" s="339">
        <f t="shared" si="88"/>
        <v>0</v>
      </c>
      <c r="U247" s="339"/>
      <c r="V247" s="339">
        <f t="shared" si="89"/>
        <v>0</v>
      </c>
    </row>
    <row r="248" spans="1:22" s="17" customFormat="1" ht="31.5" hidden="1">
      <c r="A248" s="27" t="s">
        <v>726</v>
      </c>
      <c r="B248" s="27" t="s">
        <v>727</v>
      </c>
      <c r="C248" s="27" t="s">
        <v>480</v>
      </c>
      <c r="D248" s="26" t="s">
        <v>728</v>
      </c>
      <c r="E248" s="199"/>
      <c r="F248" s="199"/>
      <c r="G248" s="199"/>
      <c r="H248" s="199"/>
      <c r="I248" s="215"/>
      <c r="J248" s="199">
        <f>+K248+N248</f>
        <v>0</v>
      </c>
      <c r="K248" s="214"/>
      <c r="L248" s="207"/>
      <c r="M248" s="207"/>
      <c r="N248" s="199"/>
      <c r="O248" s="207"/>
      <c r="P248" s="207"/>
      <c r="Q248" s="199">
        <f>+J248+E248</f>
        <v>0</v>
      </c>
      <c r="R248" s="419">
        <f t="shared" si="90"/>
        <v>0</v>
      </c>
      <c r="S248" s="169">
        <f t="shared" si="74"/>
        <v>0</v>
      </c>
      <c r="T248" s="339">
        <f t="shared" si="88"/>
        <v>0</v>
      </c>
      <c r="U248" s="339"/>
      <c r="V248" s="339">
        <f t="shared" si="89"/>
        <v>0</v>
      </c>
    </row>
    <row r="249" spans="1:22" s="64" customFormat="1" ht="47.25" hidden="1">
      <c r="A249" s="27" t="s">
        <v>729</v>
      </c>
      <c r="B249" s="27" t="s">
        <v>730</v>
      </c>
      <c r="C249" s="27" t="s">
        <v>480</v>
      </c>
      <c r="D249" s="26" t="s">
        <v>731</v>
      </c>
      <c r="E249" s="199">
        <f>F249+I249</f>
        <v>0</v>
      </c>
      <c r="F249" s="199"/>
      <c r="G249" s="199"/>
      <c r="H249" s="199"/>
      <c r="I249" s="199"/>
      <c r="J249" s="199">
        <f>+K249+N249</f>
        <v>0</v>
      </c>
      <c r="K249" s="214"/>
      <c r="L249" s="207"/>
      <c r="M249" s="207"/>
      <c r="N249" s="199"/>
      <c r="O249" s="207"/>
      <c r="P249" s="207"/>
      <c r="Q249" s="199">
        <f>+J249+E249</f>
        <v>0</v>
      </c>
      <c r="R249" s="419">
        <f t="shared" si="90"/>
        <v>0</v>
      </c>
      <c r="S249" s="169">
        <f t="shared" ref="S249:S288" si="107">R249-Q249</f>
        <v>0</v>
      </c>
      <c r="T249" s="339">
        <f t="shared" si="88"/>
        <v>0</v>
      </c>
      <c r="U249" s="339"/>
      <c r="V249" s="339">
        <f t="shared" si="89"/>
        <v>0</v>
      </c>
    </row>
    <row r="250" spans="1:22" s="600" customFormat="1" ht="78.75">
      <c r="A250" s="598" t="s">
        <v>732</v>
      </c>
      <c r="B250" s="598"/>
      <c r="C250" s="598"/>
      <c r="D250" s="589" t="s">
        <v>1710</v>
      </c>
      <c r="E250" s="590">
        <f>E255+E256+E253+E254+E252</f>
        <v>7476719</v>
      </c>
      <c r="F250" s="590">
        <f t="shared" ref="F250:Q250" si="108">F255+F256+F253+F254+F252</f>
        <v>7476719</v>
      </c>
      <c r="G250" s="590">
        <f t="shared" si="108"/>
        <v>0</v>
      </c>
      <c r="H250" s="590">
        <f t="shared" si="108"/>
        <v>0</v>
      </c>
      <c r="I250" s="590">
        <f t="shared" si="108"/>
        <v>0</v>
      </c>
      <c r="J250" s="590">
        <f t="shared" si="108"/>
        <v>2814981</v>
      </c>
      <c r="K250" s="590">
        <f t="shared" si="108"/>
        <v>0</v>
      </c>
      <c r="L250" s="590">
        <f t="shared" si="108"/>
        <v>0</v>
      </c>
      <c r="M250" s="590">
        <f t="shared" si="108"/>
        <v>0</v>
      </c>
      <c r="N250" s="590">
        <f t="shared" si="108"/>
        <v>2814981</v>
      </c>
      <c r="O250" s="590">
        <f t="shared" si="108"/>
        <v>2814981</v>
      </c>
      <c r="P250" s="590">
        <f t="shared" si="108"/>
        <v>2814981</v>
      </c>
      <c r="Q250" s="590">
        <f t="shared" si="108"/>
        <v>10291700</v>
      </c>
      <c r="R250" s="419">
        <f t="shared" si="90"/>
        <v>10291700</v>
      </c>
      <c r="S250" s="420">
        <f t="shared" si="107"/>
        <v>0</v>
      </c>
      <c r="T250" s="421">
        <f t="shared" si="88"/>
        <v>0</v>
      </c>
      <c r="U250" s="421"/>
      <c r="V250" s="421">
        <f t="shared" si="89"/>
        <v>0</v>
      </c>
    </row>
    <row r="251" spans="1:22" s="639" customFormat="1" ht="78.75">
      <c r="A251" s="598" t="s">
        <v>733</v>
      </c>
      <c r="B251" s="598"/>
      <c r="C251" s="598"/>
      <c r="D251" s="589" t="s">
        <v>1710</v>
      </c>
      <c r="E251" s="590">
        <f>E255+E257+E253+E254+E252</f>
        <v>7476719</v>
      </c>
      <c r="F251" s="590">
        <f t="shared" ref="F251:Q251" si="109">F255+F257+F253+F254+F252</f>
        <v>7476719</v>
      </c>
      <c r="G251" s="590">
        <f t="shared" si="109"/>
        <v>0</v>
      </c>
      <c r="H251" s="590">
        <f t="shared" si="109"/>
        <v>0</v>
      </c>
      <c r="I251" s="590">
        <f t="shared" si="109"/>
        <v>0</v>
      </c>
      <c r="J251" s="590">
        <f t="shared" si="109"/>
        <v>2814981</v>
      </c>
      <c r="K251" s="590">
        <f t="shared" si="109"/>
        <v>0</v>
      </c>
      <c r="L251" s="590">
        <f t="shared" si="109"/>
        <v>0</v>
      </c>
      <c r="M251" s="590">
        <f t="shared" si="109"/>
        <v>0</v>
      </c>
      <c r="N251" s="590">
        <f t="shared" si="109"/>
        <v>2814981</v>
      </c>
      <c r="O251" s="590">
        <f t="shared" si="109"/>
        <v>2814981</v>
      </c>
      <c r="P251" s="590">
        <f t="shared" si="109"/>
        <v>2814981</v>
      </c>
      <c r="Q251" s="590">
        <f t="shared" si="109"/>
        <v>10291700</v>
      </c>
      <c r="R251" s="419">
        <f t="shared" si="90"/>
        <v>10291700</v>
      </c>
      <c r="S251" s="420">
        <f t="shared" si="107"/>
        <v>0</v>
      </c>
      <c r="T251" s="421">
        <f t="shared" si="88"/>
        <v>0</v>
      </c>
      <c r="U251" s="421"/>
      <c r="V251" s="421">
        <f t="shared" si="89"/>
        <v>0</v>
      </c>
    </row>
    <row r="252" spans="1:22" s="554" customFormat="1" ht="31.5">
      <c r="A252" s="423" t="s">
        <v>1717</v>
      </c>
      <c r="B252" s="423" t="s">
        <v>727</v>
      </c>
      <c r="C252" s="423" t="s">
        <v>480</v>
      </c>
      <c r="D252" s="584" t="s">
        <v>728</v>
      </c>
      <c r="E252" s="549">
        <f>F252+I252</f>
        <v>4275019</v>
      </c>
      <c r="F252" s="549">
        <f>3300000+1000000+200000-224981</f>
        <v>4275019</v>
      </c>
      <c r="G252" s="549"/>
      <c r="H252" s="549"/>
      <c r="I252" s="549"/>
      <c r="J252" s="549">
        <f>+K252+N252</f>
        <v>224981</v>
      </c>
      <c r="K252" s="594"/>
      <c r="L252" s="550"/>
      <c r="M252" s="550"/>
      <c r="N252" s="549">
        <v>224981</v>
      </c>
      <c r="O252" s="550">
        <v>224981</v>
      </c>
      <c r="P252" s="550">
        <v>224981</v>
      </c>
      <c r="Q252" s="549">
        <f>+J252+E252</f>
        <v>4500000</v>
      </c>
      <c r="R252" s="419">
        <f t="shared" si="90"/>
        <v>4500000</v>
      </c>
      <c r="S252" s="420">
        <f t="shared" si="107"/>
        <v>0</v>
      </c>
      <c r="T252" s="421">
        <f t="shared" si="88"/>
        <v>0</v>
      </c>
      <c r="U252" s="421"/>
      <c r="V252" s="421">
        <f t="shared" si="89"/>
        <v>0</v>
      </c>
    </row>
    <row r="253" spans="1:22" s="639" customFormat="1" ht="47.25">
      <c r="A253" s="423" t="s">
        <v>933</v>
      </c>
      <c r="B253" s="423" t="s">
        <v>934</v>
      </c>
      <c r="C253" s="423" t="s">
        <v>654</v>
      </c>
      <c r="D253" s="584" t="s">
        <v>935</v>
      </c>
      <c r="E253" s="549">
        <f>F253+I253</f>
        <v>50000</v>
      </c>
      <c r="F253" s="549">
        <v>50000</v>
      </c>
      <c r="G253" s="549"/>
      <c r="H253" s="549"/>
      <c r="I253" s="549"/>
      <c r="J253" s="549">
        <f>+K253+N253</f>
        <v>0</v>
      </c>
      <c r="K253" s="594"/>
      <c r="L253" s="550"/>
      <c r="M253" s="550"/>
      <c r="N253" s="549"/>
      <c r="O253" s="550"/>
      <c r="P253" s="550"/>
      <c r="Q253" s="549">
        <f>+J253+E253</f>
        <v>50000</v>
      </c>
      <c r="R253" s="419">
        <f t="shared" si="90"/>
        <v>50000</v>
      </c>
      <c r="S253" s="420">
        <f t="shared" si="107"/>
        <v>0</v>
      </c>
      <c r="T253" s="421">
        <f t="shared" si="88"/>
        <v>0</v>
      </c>
      <c r="U253" s="421"/>
      <c r="V253" s="421">
        <f t="shared" si="89"/>
        <v>0</v>
      </c>
    </row>
    <row r="254" spans="1:22" s="639" customFormat="1" ht="47.25">
      <c r="A254" s="423" t="s">
        <v>1036</v>
      </c>
      <c r="B254" s="423" t="s">
        <v>925</v>
      </c>
      <c r="C254" s="423" t="s">
        <v>358</v>
      </c>
      <c r="D254" s="584" t="s">
        <v>926</v>
      </c>
      <c r="E254" s="549">
        <f>F254+I254</f>
        <v>1194700</v>
      </c>
      <c r="F254" s="549">
        <f>841700+103000+250000</f>
        <v>1194700</v>
      </c>
      <c r="G254" s="549"/>
      <c r="H254" s="549"/>
      <c r="I254" s="549"/>
      <c r="J254" s="549">
        <f>+K254+N254</f>
        <v>2500000</v>
      </c>
      <c r="K254" s="594"/>
      <c r="L254" s="550"/>
      <c r="M254" s="550"/>
      <c r="N254" s="549">
        <v>2500000</v>
      </c>
      <c r="O254" s="550">
        <v>2500000</v>
      </c>
      <c r="P254" s="550">
        <v>2500000</v>
      </c>
      <c r="Q254" s="549">
        <f>+J254+E254</f>
        <v>3694700</v>
      </c>
      <c r="R254" s="419">
        <f t="shared" si="90"/>
        <v>3694700</v>
      </c>
      <c r="S254" s="420">
        <f t="shared" si="107"/>
        <v>0</v>
      </c>
      <c r="T254" s="421">
        <f t="shared" si="88"/>
        <v>0</v>
      </c>
      <c r="U254" s="421"/>
      <c r="V254" s="421">
        <f t="shared" si="89"/>
        <v>0</v>
      </c>
    </row>
    <row r="255" spans="1:22" s="640" customFormat="1" ht="31.5">
      <c r="A255" s="423" t="s">
        <v>734</v>
      </c>
      <c r="B255" s="423" t="s">
        <v>190</v>
      </c>
      <c r="C255" s="423" t="s">
        <v>486</v>
      </c>
      <c r="D255" s="584" t="s">
        <v>291</v>
      </c>
      <c r="E255" s="549">
        <f>F255+I255</f>
        <v>1297000</v>
      </c>
      <c r="F255" s="549">
        <f>2550000-103000-250000-700000-200000</f>
        <v>1297000</v>
      </c>
      <c r="G255" s="549"/>
      <c r="H255" s="549"/>
      <c r="I255" s="549"/>
      <c r="J255" s="549">
        <f>+K255+N255</f>
        <v>50000</v>
      </c>
      <c r="K255" s="594"/>
      <c r="L255" s="550"/>
      <c r="M255" s="550"/>
      <c r="N255" s="549">
        <v>50000</v>
      </c>
      <c r="O255" s="550">
        <v>50000</v>
      </c>
      <c r="P255" s="550">
        <v>50000</v>
      </c>
      <c r="Q255" s="549">
        <f>+J255+E255</f>
        <v>1347000</v>
      </c>
      <c r="R255" s="419">
        <f t="shared" si="90"/>
        <v>1347000</v>
      </c>
      <c r="S255" s="420">
        <f t="shared" si="107"/>
        <v>0</v>
      </c>
      <c r="T255" s="421">
        <f t="shared" si="88"/>
        <v>0</v>
      </c>
      <c r="U255" s="421"/>
      <c r="V255" s="421">
        <f t="shared" si="89"/>
        <v>0</v>
      </c>
    </row>
    <row r="256" spans="1:22" s="610" customFormat="1" ht="15.75">
      <c r="A256" s="577" t="s">
        <v>737</v>
      </c>
      <c r="B256" s="577" t="s">
        <v>738</v>
      </c>
      <c r="C256" s="577"/>
      <c r="D256" s="578" t="s">
        <v>739</v>
      </c>
      <c r="E256" s="579">
        <f>E257</f>
        <v>660000</v>
      </c>
      <c r="F256" s="579">
        <f t="shared" ref="F256:Q256" si="110">F257</f>
        <v>660000</v>
      </c>
      <c r="G256" s="579">
        <f t="shared" si="110"/>
        <v>0</v>
      </c>
      <c r="H256" s="579">
        <f t="shared" si="110"/>
        <v>0</v>
      </c>
      <c r="I256" s="579">
        <f t="shared" si="110"/>
        <v>0</v>
      </c>
      <c r="J256" s="579">
        <f t="shared" si="110"/>
        <v>40000</v>
      </c>
      <c r="K256" s="579">
        <f t="shared" si="110"/>
        <v>0</v>
      </c>
      <c r="L256" s="579">
        <f t="shared" si="110"/>
        <v>0</v>
      </c>
      <c r="M256" s="579">
        <f t="shared" si="110"/>
        <v>0</v>
      </c>
      <c r="N256" s="579">
        <f t="shared" si="110"/>
        <v>40000</v>
      </c>
      <c r="O256" s="579">
        <f t="shared" si="110"/>
        <v>40000</v>
      </c>
      <c r="P256" s="579">
        <f t="shared" si="110"/>
        <v>40000</v>
      </c>
      <c r="Q256" s="579">
        <f t="shared" si="110"/>
        <v>700000</v>
      </c>
      <c r="R256" s="419">
        <f t="shared" si="90"/>
        <v>700000</v>
      </c>
      <c r="S256" s="420">
        <f t="shared" si="107"/>
        <v>0</v>
      </c>
      <c r="T256" s="421">
        <f t="shared" si="88"/>
        <v>0</v>
      </c>
      <c r="U256" s="421"/>
      <c r="V256" s="421">
        <f t="shared" si="89"/>
        <v>0</v>
      </c>
    </row>
    <row r="257" spans="1:22" s="641" customFormat="1" ht="31.5">
      <c r="A257" s="417" t="s">
        <v>735</v>
      </c>
      <c r="B257" s="417" t="s">
        <v>736</v>
      </c>
      <c r="C257" s="417" t="s">
        <v>358</v>
      </c>
      <c r="D257" s="581" t="s">
        <v>191</v>
      </c>
      <c r="E257" s="546">
        <f>F257+I257</f>
        <v>660000</v>
      </c>
      <c r="F257" s="546">
        <v>660000</v>
      </c>
      <c r="G257" s="546"/>
      <c r="H257" s="546"/>
      <c r="I257" s="546"/>
      <c r="J257" s="546">
        <f>+K257+N257</f>
        <v>40000</v>
      </c>
      <c r="K257" s="630"/>
      <c r="L257" s="547"/>
      <c r="M257" s="547"/>
      <c r="N257" s="546">
        <v>40000</v>
      </c>
      <c r="O257" s="546">
        <v>40000</v>
      </c>
      <c r="P257" s="546">
        <v>40000</v>
      </c>
      <c r="Q257" s="546">
        <f>+J257+E257</f>
        <v>700000</v>
      </c>
      <c r="R257" s="419">
        <f t="shared" si="90"/>
        <v>700000</v>
      </c>
      <c r="S257" s="420">
        <f t="shared" si="107"/>
        <v>0</v>
      </c>
      <c r="T257" s="421">
        <f t="shared" si="88"/>
        <v>0</v>
      </c>
      <c r="U257" s="421"/>
      <c r="V257" s="421">
        <f t="shared" si="89"/>
        <v>0</v>
      </c>
    </row>
    <row r="258" spans="1:22" s="642" customFormat="1" ht="63">
      <c r="A258" s="598" t="s">
        <v>741</v>
      </c>
      <c r="B258" s="598"/>
      <c r="C258" s="598"/>
      <c r="D258" s="589" t="s">
        <v>420</v>
      </c>
      <c r="E258" s="590">
        <f>E261+E262+E263+E264+E265</f>
        <v>0</v>
      </c>
      <c r="F258" s="590">
        <f t="shared" ref="F258:Q258" si="111">F261+F262+F263+F264+F265</f>
        <v>0</v>
      </c>
      <c r="G258" s="590">
        <f t="shared" si="111"/>
        <v>0</v>
      </c>
      <c r="H258" s="590">
        <f t="shared" si="111"/>
        <v>0</v>
      </c>
      <c r="I258" s="590">
        <f t="shared" si="111"/>
        <v>0</v>
      </c>
      <c r="J258" s="590">
        <f t="shared" si="111"/>
        <v>6579480</v>
      </c>
      <c r="K258" s="590">
        <f t="shared" si="111"/>
        <v>820000</v>
      </c>
      <c r="L258" s="590">
        <f t="shared" si="111"/>
        <v>0</v>
      </c>
      <c r="M258" s="590">
        <f t="shared" si="111"/>
        <v>0</v>
      </c>
      <c r="N258" s="590">
        <f t="shared" si="111"/>
        <v>5759480</v>
      </c>
      <c r="O258" s="590">
        <f t="shared" si="111"/>
        <v>817580</v>
      </c>
      <c r="P258" s="590">
        <f t="shared" si="111"/>
        <v>0</v>
      </c>
      <c r="Q258" s="590">
        <f t="shared" si="111"/>
        <v>6579480</v>
      </c>
      <c r="R258" s="419">
        <f t="shared" si="90"/>
        <v>6579480</v>
      </c>
      <c r="S258" s="420">
        <f t="shared" si="107"/>
        <v>0</v>
      </c>
      <c r="T258" s="421">
        <f t="shared" si="88"/>
        <v>-817580</v>
      </c>
      <c r="U258" s="421"/>
      <c r="V258" s="421">
        <f t="shared" si="89"/>
        <v>-4941900</v>
      </c>
    </row>
    <row r="259" spans="1:22" s="644" customFormat="1" ht="63">
      <c r="A259" s="598" t="s">
        <v>742</v>
      </c>
      <c r="B259" s="643"/>
      <c r="C259" s="643"/>
      <c r="D259" s="589" t="s">
        <v>420</v>
      </c>
      <c r="E259" s="590">
        <f>E260+E264+E265</f>
        <v>0</v>
      </c>
      <c r="F259" s="590">
        <f t="shared" ref="F259:Q259" si="112">F260+F264+F265</f>
        <v>0</v>
      </c>
      <c r="G259" s="590">
        <f t="shared" si="112"/>
        <v>0</v>
      </c>
      <c r="H259" s="590">
        <f t="shared" si="112"/>
        <v>0</v>
      </c>
      <c r="I259" s="590">
        <f t="shared" si="112"/>
        <v>0</v>
      </c>
      <c r="J259" s="590">
        <f t="shared" si="112"/>
        <v>6579480</v>
      </c>
      <c r="K259" s="590">
        <f t="shared" si="112"/>
        <v>820000</v>
      </c>
      <c r="L259" s="590">
        <f t="shared" si="112"/>
        <v>0</v>
      </c>
      <c r="M259" s="590">
        <f t="shared" si="112"/>
        <v>0</v>
      </c>
      <c r="N259" s="590">
        <f t="shared" si="112"/>
        <v>5759480</v>
      </c>
      <c r="O259" s="590">
        <f t="shared" si="112"/>
        <v>817580</v>
      </c>
      <c r="P259" s="590">
        <f t="shared" si="112"/>
        <v>0</v>
      </c>
      <c r="Q259" s="590">
        <f t="shared" si="112"/>
        <v>6579480</v>
      </c>
      <c r="R259" s="419">
        <f t="shared" si="90"/>
        <v>6579480</v>
      </c>
      <c r="S259" s="420">
        <f t="shared" si="107"/>
        <v>0</v>
      </c>
      <c r="T259" s="421">
        <f t="shared" si="88"/>
        <v>-817580</v>
      </c>
      <c r="U259" s="421"/>
      <c r="V259" s="421">
        <f t="shared" si="89"/>
        <v>-4941900</v>
      </c>
    </row>
    <row r="260" spans="1:22" s="422" customFormat="1" ht="47.25">
      <c r="A260" s="577" t="s">
        <v>743</v>
      </c>
      <c r="B260" s="577" t="s">
        <v>506</v>
      </c>
      <c r="C260" s="577"/>
      <c r="D260" s="578" t="s">
        <v>508</v>
      </c>
      <c r="E260" s="579">
        <f>E261+E262+E263</f>
        <v>0</v>
      </c>
      <c r="F260" s="579">
        <f t="shared" ref="F260:Q260" si="113">F261+F262+F263</f>
        <v>0</v>
      </c>
      <c r="G260" s="579">
        <f t="shared" si="113"/>
        <v>0</v>
      </c>
      <c r="H260" s="579">
        <f t="shared" si="113"/>
        <v>0</v>
      </c>
      <c r="I260" s="579">
        <f t="shared" si="113"/>
        <v>0</v>
      </c>
      <c r="J260" s="579">
        <f t="shared" si="113"/>
        <v>3209180</v>
      </c>
      <c r="K260" s="579">
        <f t="shared" si="113"/>
        <v>185000</v>
      </c>
      <c r="L260" s="579">
        <f t="shared" si="113"/>
        <v>0</v>
      </c>
      <c r="M260" s="579">
        <f t="shared" si="113"/>
        <v>0</v>
      </c>
      <c r="N260" s="579">
        <f t="shared" si="113"/>
        <v>3024180</v>
      </c>
      <c r="O260" s="579">
        <f t="shared" si="113"/>
        <v>817580</v>
      </c>
      <c r="P260" s="579">
        <f t="shared" si="113"/>
        <v>0</v>
      </c>
      <c r="Q260" s="579">
        <f t="shared" si="113"/>
        <v>3209180</v>
      </c>
      <c r="R260" s="419">
        <f t="shared" si="90"/>
        <v>3209180</v>
      </c>
      <c r="S260" s="420">
        <f t="shared" si="107"/>
        <v>0</v>
      </c>
      <c r="T260" s="421">
        <f t="shared" si="88"/>
        <v>-817580</v>
      </c>
      <c r="U260" s="421"/>
      <c r="V260" s="421">
        <f t="shared" si="89"/>
        <v>-2206600</v>
      </c>
    </row>
    <row r="261" spans="1:22" s="64" customFormat="1" ht="47.25" hidden="1">
      <c r="A261" s="179" t="s">
        <v>744</v>
      </c>
      <c r="B261" s="179" t="s">
        <v>507</v>
      </c>
      <c r="C261" s="179" t="s">
        <v>9</v>
      </c>
      <c r="D261" s="29" t="s">
        <v>114</v>
      </c>
      <c r="E261" s="199">
        <f>F261+I261</f>
        <v>0</v>
      </c>
      <c r="F261" s="199"/>
      <c r="G261" s="199"/>
      <c r="H261" s="199"/>
      <c r="I261" s="199"/>
      <c r="J261" s="199">
        <f>+K261+N261</f>
        <v>0</v>
      </c>
      <c r="K261" s="214"/>
      <c r="L261" s="207"/>
      <c r="M261" s="207"/>
      <c r="N261" s="199"/>
      <c r="O261" s="207"/>
      <c r="P261" s="207"/>
      <c r="Q261" s="199">
        <f>+J261+E261</f>
        <v>0</v>
      </c>
      <c r="R261" s="419">
        <f t="shared" si="90"/>
        <v>0</v>
      </c>
      <c r="S261" s="169">
        <f t="shared" si="107"/>
        <v>0</v>
      </c>
      <c r="T261" s="339">
        <f t="shared" si="88"/>
        <v>0</v>
      </c>
      <c r="U261" s="339"/>
      <c r="V261" s="339">
        <f t="shared" si="89"/>
        <v>0</v>
      </c>
    </row>
    <row r="262" spans="1:22" s="180" customFormat="1" ht="15.75" hidden="1">
      <c r="A262" s="179" t="s">
        <v>745</v>
      </c>
      <c r="B262" s="179" t="s">
        <v>718</v>
      </c>
      <c r="C262" s="179" t="s">
        <v>29</v>
      </c>
      <c r="D262" s="29" t="s">
        <v>115</v>
      </c>
      <c r="E262" s="203">
        <f>F262+I262</f>
        <v>0</v>
      </c>
      <c r="F262" s="203"/>
      <c r="G262" s="203"/>
      <c r="H262" s="203"/>
      <c r="I262" s="203"/>
      <c r="J262" s="203">
        <f>+K262+N262</f>
        <v>0</v>
      </c>
      <c r="K262" s="260"/>
      <c r="L262" s="206"/>
      <c r="M262" s="206"/>
      <c r="N262" s="203">
        <f>1740000-1740000</f>
        <v>0</v>
      </c>
      <c r="O262" s="206"/>
      <c r="P262" s="206"/>
      <c r="Q262" s="203">
        <f>+J262+E262</f>
        <v>0</v>
      </c>
      <c r="R262" s="419">
        <f t="shared" si="90"/>
        <v>0</v>
      </c>
      <c r="S262" s="169">
        <f t="shared" si="107"/>
        <v>0</v>
      </c>
      <c r="T262" s="339">
        <f t="shared" si="88"/>
        <v>0</v>
      </c>
      <c r="U262" s="339"/>
      <c r="V262" s="339">
        <f t="shared" si="89"/>
        <v>0</v>
      </c>
    </row>
    <row r="263" spans="1:22" s="587" customFormat="1" ht="47.25">
      <c r="A263" s="417" t="s">
        <v>746</v>
      </c>
      <c r="B263" s="417" t="s">
        <v>747</v>
      </c>
      <c r="C263" s="417" t="s">
        <v>483</v>
      </c>
      <c r="D263" s="581" t="s">
        <v>243</v>
      </c>
      <c r="E263" s="546">
        <f>F263+I263</f>
        <v>0</v>
      </c>
      <c r="F263" s="546"/>
      <c r="G263" s="546"/>
      <c r="H263" s="546"/>
      <c r="I263" s="546"/>
      <c r="J263" s="546">
        <f>+K263+N263</f>
        <v>3209180</v>
      </c>
      <c r="K263" s="630">
        <v>185000</v>
      </c>
      <c r="L263" s="547"/>
      <c r="M263" s="547"/>
      <c r="N263" s="546">
        <f>2206600+68600+682500+66480</f>
        <v>3024180</v>
      </c>
      <c r="O263" s="547">
        <f>68600+682500+66480</f>
        <v>817580</v>
      </c>
      <c r="P263" s="547"/>
      <c r="Q263" s="546">
        <f>+J263+E263</f>
        <v>3209180</v>
      </c>
      <c r="R263" s="419">
        <f t="shared" si="90"/>
        <v>3209180</v>
      </c>
      <c r="S263" s="420">
        <f t="shared" si="107"/>
        <v>0</v>
      </c>
      <c r="T263" s="421">
        <f t="shared" si="88"/>
        <v>-817580</v>
      </c>
      <c r="U263" s="421"/>
      <c r="V263" s="421">
        <f t="shared" si="89"/>
        <v>-2206600</v>
      </c>
    </row>
    <row r="264" spans="1:22" ht="31.5">
      <c r="A264" s="423" t="s">
        <v>944</v>
      </c>
      <c r="B264" s="423" t="s">
        <v>945</v>
      </c>
      <c r="C264" s="423" t="s">
        <v>484</v>
      </c>
      <c r="D264" s="584" t="s">
        <v>719</v>
      </c>
      <c r="E264" s="546">
        <f>F264+I264</f>
        <v>0</v>
      </c>
      <c r="F264" s="549"/>
      <c r="G264" s="549"/>
      <c r="H264" s="549"/>
      <c r="I264" s="549"/>
      <c r="J264" s="549">
        <f>+K264+N264</f>
        <v>700000</v>
      </c>
      <c r="K264" s="594">
        <f>335000+50000+250000</f>
        <v>635000</v>
      </c>
      <c r="L264" s="550"/>
      <c r="M264" s="550"/>
      <c r="N264" s="549">
        <v>65000</v>
      </c>
      <c r="O264" s="550"/>
      <c r="P264" s="550"/>
      <c r="Q264" s="549">
        <f>+J264+E264</f>
        <v>700000</v>
      </c>
      <c r="R264" s="419">
        <f t="shared" si="90"/>
        <v>700000</v>
      </c>
      <c r="S264" s="420">
        <f t="shared" si="107"/>
        <v>0</v>
      </c>
      <c r="T264" s="421">
        <f t="shared" si="88"/>
        <v>0</v>
      </c>
      <c r="U264" s="421"/>
      <c r="V264" s="421">
        <f t="shared" si="89"/>
        <v>-65000</v>
      </c>
    </row>
    <row r="265" spans="1:22" ht="47.25">
      <c r="A265" s="423" t="s">
        <v>1816</v>
      </c>
      <c r="B265" s="423" t="s">
        <v>1817</v>
      </c>
      <c r="C265" s="423" t="s">
        <v>10</v>
      </c>
      <c r="D265" s="584" t="s">
        <v>1707</v>
      </c>
      <c r="E265" s="546">
        <f>F265+I265</f>
        <v>0</v>
      </c>
      <c r="F265" s="549"/>
      <c r="G265" s="549"/>
      <c r="H265" s="549"/>
      <c r="I265" s="549"/>
      <c r="J265" s="549">
        <f>+K265+N265</f>
        <v>2670300</v>
      </c>
      <c r="K265" s="594"/>
      <c r="L265" s="550"/>
      <c r="M265" s="550"/>
      <c r="N265" s="549">
        <v>2670300</v>
      </c>
      <c r="O265" s="550"/>
      <c r="P265" s="550"/>
      <c r="Q265" s="549">
        <f>+J265+E265</f>
        <v>2670300</v>
      </c>
      <c r="R265" s="419">
        <f t="shared" si="90"/>
        <v>2670300</v>
      </c>
      <c r="S265" s="420">
        <f t="shared" si="107"/>
        <v>0</v>
      </c>
      <c r="T265" s="421">
        <f t="shared" si="88"/>
        <v>0</v>
      </c>
      <c r="U265" s="421"/>
      <c r="V265" s="421">
        <f t="shared" si="89"/>
        <v>-2670300</v>
      </c>
    </row>
    <row r="266" spans="1:22" s="624" customFormat="1" ht="63">
      <c r="A266" s="598" t="s">
        <v>359</v>
      </c>
      <c r="B266" s="598"/>
      <c r="C266" s="598"/>
      <c r="D266" s="589" t="s">
        <v>377</v>
      </c>
      <c r="E266" s="590">
        <f>E268+E269</f>
        <v>1352200</v>
      </c>
      <c r="F266" s="590">
        <f t="shared" ref="F266:Q266" si="114">F268+F269</f>
        <v>1352200</v>
      </c>
      <c r="G266" s="590">
        <f t="shared" si="114"/>
        <v>475800</v>
      </c>
      <c r="H266" s="590">
        <f t="shared" si="114"/>
        <v>230300</v>
      </c>
      <c r="I266" s="590">
        <f t="shared" si="114"/>
        <v>0</v>
      </c>
      <c r="J266" s="590">
        <f t="shared" si="114"/>
        <v>0</v>
      </c>
      <c r="K266" s="590">
        <f t="shared" si="114"/>
        <v>0</v>
      </c>
      <c r="L266" s="590">
        <f t="shared" si="114"/>
        <v>0</v>
      </c>
      <c r="M266" s="590">
        <f t="shared" si="114"/>
        <v>0</v>
      </c>
      <c r="N266" s="590">
        <f t="shared" si="114"/>
        <v>0</v>
      </c>
      <c r="O266" s="590">
        <f t="shared" si="114"/>
        <v>0</v>
      </c>
      <c r="P266" s="590">
        <f t="shared" si="114"/>
        <v>0</v>
      </c>
      <c r="Q266" s="590">
        <f t="shared" si="114"/>
        <v>1352200</v>
      </c>
      <c r="R266" s="419">
        <f t="shared" si="90"/>
        <v>1352200</v>
      </c>
      <c r="S266" s="420">
        <f t="shared" si="107"/>
        <v>0</v>
      </c>
      <c r="T266" s="421">
        <f t="shared" si="88"/>
        <v>0</v>
      </c>
      <c r="U266" s="421"/>
      <c r="V266" s="421">
        <f t="shared" si="89"/>
        <v>0</v>
      </c>
    </row>
    <row r="267" spans="1:22" s="610" customFormat="1" ht="63">
      <c r="A267" s="598" t="s">
        <v>360</v>
      </c>
      <c r="B267" s="598"/>
      <c r="C267" s="598"/>
      <c r="D267" s="589" t="s">
        <v>377</v>
      </c>
      <c r="E267" s="590">
        <f>E268+E269</f>
        <v>1352200</v>
      </c>
      <c r="F267" s="590">
        <f t="shared" ref="F267:Q267" si="115">F268+F269</f>
        <v>1352200</v>
      </c>
      <c r="G267" s="590">
        <f t="shared" si="115"/>
        <v>475800</v>
      </c>
      <c r="H267" s="590">
        <f t="shared" si="115"/>
        <v>230300</v>
      </c>
      <c r="I267" s="590">
        <f t="shared" si="115"/>
        <v>0</v>
      </c>
      <c r="J267" s="590">
        <f t="shared" si="115"/>
        <v>0</v>
      </c>
      <c r="K267" s="590">
        <f t="shared" si="115"/>
        <v>0</v>
      </c>
      <c r="L267" s="590">
        <f t="shared" si="115"/>
        <v>0</v>
      </c>
      <c r="M267" s="590">
        <f t="shared" si="115"/>
        <v>0</v>
      </c>
      <c r="N267" s="590">
        <f t="shared" si="115"/>
        <v>0</v>
      </c>
      <c r="O267" s="590">
        <f t="shared" si="115"/>
        <v>0</v>
      </c>
      <c r="P267" s="590">
        <f t="shared" si="115"/>
        <v>0</v>
      </c>
      <c r="Q267" s="590">
        <f t="shared" si="115"/>
        <v>1352200</v>
      </c>
      <c r="R267" s="419">
        <f t="shared" si="90"/>
        <v>1352200</v>
      </c>
      <c r="S267" s="420">
        <f t="shared" si="107"/>
        <v>0</v>
      </c>
      <c r="T267" s="421">
        <f t="shared" si="88"/>
        <v>0</v>
      </c>
      <c r="U267" s="421"/>
      <c r="V267" s="421">
        <f t="shared" si="89"/>
        <v>0</v>
      </c>
    </row>
    <row r="268" spans="1:22" ht="47.25">
      <c r="A268" s="423" t="s">
        <v>748</v>
      </c>
      <c r="B268" s="423" t="s">
        <v>749</v>
      </c>
      <c r="C268" s="423" t="s">
        <v>478</v>
      </c>
      <c r="D268" s="584" t="s">
        <v>978</v>
      </c>
      <c r="E268" s="549">
        <f>F268+I268</f>
        <v>514400</v>
      </c>
      <c r="F268" s="549">
        <v>514400</v>
      </c>
      <c r="G268" s="549"/>
      <c r="H268" s="549">
        <v>166700</v>
      </c>
      <c r="I268" s="549"/>
      <c r="J268" s="549">
        <f>+K268+N268</f>
        <v>0</v>
      </c>
      <c r="K268" s="594"/>
      <c r="L268" s="550"/>
      <c r="M268" s="550"/>
      <c r="N268" s="550"/>
      <c r="O268" s="550"/>
      <c r="P268" s="550"/>
      <c r="Q268" s="549">
        <f>+J268+E268</f>
        <v>514400</v>
      </c>
      <c r="R268" s="419">
        <f t="shared" si="90"/>
        <v>514400</v>
      </c>
      <c r="S268" s="420">
        <f t="shared" si="107"/>
        <v>0</v>
      </c>
      <c r="T268" s="421">
        <f t="shared" si="88"/>
        <v>0</v>
      </c>
      <c r="U268" s="421"/>
      <c r="V268" s="421">
        <f t="shared" si="89"/>
        <v>0</v>
      </c>
    </row>
    <row r="269" spans="1:22" ht="31.5">
      <c r="A269" s="423" t="s">
        <v>936</v>
      </c>
      <c r="B269" s="423" t="s">
        <v>716</v>
      </c>
      <c r="C269" s="423" t="s">
        <v>478</v>
      </c>
      <c r="D269" s="584" t="s">
        <v>392</v>
      </c>
      <c r="E269" s="549">
        <f>F269+I269</f>
        <v>837800</v>
      </c>
      <c r="F269" s="549">
        <v>837800</v>
      </c>
      <c r="G269" s="549">
        <v>475800</v>
      </c>
      <c r="H269" s="549">
        <v>63600</v>
      </c>
      <c r="I269" s="549"/>
      <c r="J269" s="549">
        <f>+K269+N269</f>
        <v>0</v>
      </c>
      <c r="K269" s="594"/>
      <c r="L269" s="550"/>
      <c r="M269" s="550"/>
      <c r="N269" s="550"/>
      <c r="O269" s="550"/>
      <c r="P269" s="550"/>
      <c r="Q269" s="549">
        <f>+J269+E269</f>
        <v>837800</v>
      </c>
      <c r="R269" s="419">
        <f t="shared" si="90"/>
        <v>837800</v>
      </c>
      <c r="S269" s="420">
        <f t="shared" si="107"/>
        <v>0</v>
      </c>
      <c r="T269" s="421">
        <f t="shared" si="88"/>
        <v>0</v>
      </c>
      <c r="U269" s="421"/>
      <c r="V269" s="421">
        <f t="shared" si="89"/>
        <v>0</v>
      </c>
    </row>
    <row r="270" spans="1:22" s="600" customFormat="1" ht="47.25">
      <c r="A270" s="598" t="s">
        <v>756</v>
      </c>
      <c r="B270" s="598"/>
      <c r="C270" s="598"/>
      <c r="D270" s="589" t="s">
        <v>160</v>
      </c>
      <c r="E270" s="590">
        <f t="shared" ref="E270:Q270" si="116">E274+E278+E276+E277+E288+E281+E287+E285+E284+E273+E283+E282+E280+E275+E286+E272</f>
        <v>5249859382</v>
      </c>
      <c r="F270" s="590">
        <f t="shared" si="116"/>
        <v>5248637741</v>
      </c>
      <c r="G270" s="590">
        <f t="shared" si="116"/>
        <v>0</v>
      </c>
      <c r="H270" s="590">
        <f t="shared" si="116"/>
        <v>0</v>
      </c>
      <c r="I270" s="590">
        <f t="shared" si="116"/>
        <v>0</v>
      </c>
      <c r="J270" s="590">
        <f t="shared" si="116"/>
        <v>25125420</v>
      </c>
      <c r="K270" s="590">
        <f t="shared" si="116"/>
        <v>6267000</v>
      </c>
      <c r="L270" s="590">
        <f t="shared" si="116"/>
        <v>0</v>
      </c>
      <c r="M270" s="590">
        <f t="shared" si="116"/>
        <v>0</v>
      </c>
      <c r="N270" s="590">
        <f t="shared" si="116"/>
        <v>18858420</v>
      </c>
      <c r="O270" s="590">
        <f t="shared" si="116"/>
        <v>18858420</v>
      </c>
      <c r="P270" s="590">
        <f t="shared" si="116"/>
        <v>18858420</v>
      </c>
      <c r="Q270" s="590">
        <f t="shared" si="116"/>
        <v>5274984802</v>
      </c>
      <c r="R270" s="419">
        <f t="shared" si="90"/>
        <v>5274984802</v>
      </c>
      <c r="S270" s="420">
        <f t="shared" si="107"/>
        <v>0</v>
      </c>
      <c r="T270" s="421">
        <f t="shared" si="88"/>
        <v>0</v>
      </c>
      <c r="U270" s="421"/>
      <c r="V270" s="421">
        <f t="shared" si="89"/>
        <v>0</v>
      </c>
    </row>
    <row r="271" spans="1:22" s="600" customFormat="1" ht="47.25">
      <c r="A271" s="598" t="s">
        <v>755</v>
      </c>
      <c r="B271" s="598"/>
      <c r="C271" s="598"/>
      <c r="D271" s="589" t="s">
        <v>160</v>
      </c>
      <c r="E271" s="590">
        <f t="shared" ref="E271:Q271" si="117">E273+E274+E278+E276+E277+E288+E283+E281+E285+E282+E287+E279+E280+E275+E284+E286+E272</f>
        <v>5249859382</v>
      </c>
      <c r="F271" s="590">
        <f t="shared" si="117"/>
        <v>5248637741</v>
      </c>
      <c r="G271" s="590">
        <f t="shared" si="117"/>
        <v>0</v>
      </c>
      <c r="H271" s="590">
        <f t="shared" si="117"/>
        <v>0</v>
      </c>
      <c r="I271" s="590">
        <f t="shared" si="117"/>
        <v>0</v>
      </c>
      <c r="J271" s="590">
        <f t="shared" si="117"/>
        <v>25125420</v>
      </c>
      <c r="K271" s="590">
        <f t="shared" si="117"/>
        <v>6267000</v>
      </c>
      <c r="L271" s="590">
        <f t="shared" si="117"/>
        <v>0</v>
      </c>
      <c r="M271" s="590">
        <f t="shared" si="117"/>
        <v>0</v>
      </c>
      <c r="N271" s="590">
        <f t="shared" si="117"/>
        <v>18858420</v>
      </c>
      <c r="O271" s="590">
        <f t="shared" si="117"/>
        <v>18858420</v>
      </c>
      <c r="P271" s="590">
        <f t="shared" si="117"/>
        <v>18858420</v>
      </c>
      <c r="Q271" s="590">
        <f t="shared" si="117"/>
        <v>5274984802</v>
      </c>
      <c r="R271" s="419">
        <f t="shared" si="90"/>
        <v>5274984802</v>
      </c>
      <c r="S271" s="420">
        <f t="shared" si="107"/>
        <v>0</v>
      </c>
      <c r="T271" s="421">
        <f t="shared" si="88"/>
        <v>0</v>
      </c>
      <c r="U271" s="421"/>
      <c r="V271" s="421">
        <f t="shared" si="89"/>
        <v>0</v>
      </c>
    </row>
    <row r="272" spans="1:22" s="640" customFormat="1" ht="31.5">
      <c r="A272" s="423" t="s">
        <v>2432</v>
      </c>
      <c r="B272" s="423" t="s">
        <v>2433</v>
      </c>
      <c r="C272" s="423" t="s">
        <v>10</v>
      </c>
      <c r="D272" s="584" t="s">
        <v>2434</v>
      </c>
      <c r="E272" s="549">
        <f>F272+I272</f>
        <v>8986600</v>
      </c>
      <c r="F272" s="549">
        <f>6032800+4693800-1540000-200000</f>
        <v>8986600</v>
      </c>
      <c r="G272" s="549"/>
      <c r="H272" s="549"/>
      <c r="I272" s="549">
        <f>38913500-38913500</f>
        <v>0</v>
      </c>
      <c r="J272" s="549">
        <f t="shared" ref="J272:J278" si="118">+K272+N272</f>
        <v>0</v>
      </c>
      <c r="K272" s="594"/>
      <c r="L272" s="550"/>
      <c r="M272" s="550"/>
      <c r="N272" s="549"/>
      <c r="O272" s="550"/>
      <c r="P272" s="550"/>
      <c r="Q272" s="549">
        <f t="shared" ref="Q272:Q286" si="119">+J272+E272</f>
        <v>8986600</v>
      </c>
      <c r="R272" s="419">
        <f t="shared" si="90"/>
        <v>8986600</v>
      </c>
      <c r="S272" s="420"/>
      <c r="T272" s="421">
        <f t="shared" si="88"/>
        <v>0</v>
      </c>
      <c r="U272" s="421"/>
      <c r="V272" s="421">
        <f t="shared" si="89"/>
        <v>0</v>
      </c>
    </row>
    <row r="273" spans="1:22" s="640" customFormat="1" ht="15.75">
      <c r="A273" s="423" t="s">
        <v>757</v>
      </c>
      <c r="B273" s="423" t="s">
        <v>758</v>
      </c>
      <c r="C273" s="423" t="s">
        <v>13</v>
      </c>
      <c r="D273" s="584" t="s">
        <v>351</v>
      </c>
      <c r="E273" s="549">
        <f>5000000+28966649+49984400+437670-4819358-195000-180000+180000+90440-8000000-285000-15000-37296144+2065009-1593829-5000-93000-420400-2500000-1000000-80000-10000-323180-40000+589587+4-582658-28653549</f>
        <v>1221641</v>
      </c>
      <c r="F273" s="549"/>
      <c r="G273" s="549"/>
      <c r="H273" s="549"/>
      <c r="I273" s="549"/>
      <c r="J273" s="549">
        <f t="shared" si="118"/>
        <v>0</v>
      </c>
      <c r="K273" s="594"/>
      <c r="L273" s="550"/>
      <c r="M273" s="550"/>
      <c r="N273" s="549"/>
      <c r="O273" s="550"/>
      <c r="P273" s="550"/>
      <c r="Q273" s="549">
        <f t="shared" si="119"/>
        <v>1221641</v>
      </c>
      <c r="R273" s="419">
        <f t="shared" si="90"/>
        <v>1221641</v>
      </c>
      <c r="S273" s="420">
        <f t="shared" si="107"/>
        <v>0</v>
      </c>
      <c r="T273" s="421">
        <f t="shared" ref="T273:T289" si="120">P273-O273</f>
        <v>0</v>
      </c>
      <c r="U273" s="421"/>
      <c r="V273" s="421">
        <f t="shared" ref="V273:V289" si="121">O273-N273</f>
        <v>0</v>
      </c>
    </row>
    <row r="274" spans="1:22" s="150" customFormat="1" ht="47.25" hidden="1">
      <c r="A274" s="27" t="s">
        <v>759</v>
      </c>
      <c r="B274" s="27" t="s">
        <v>30</v>
      </c>
      <c r="C274" s="27" t="s">
        <v>10</v>
      </c>
      <c r="D274" s="19" t="s">
        <v>760</v>
      </c>
      <c r="E274" s="31">
        <f>F274+I274</f>
        <v>0</v>
      </c>
      <c r="F274" s="31"/>
      <c r="G274" s="31"/>
      <c r="H274" s="31"/>
      <c r="I274" s="31"/>
      <c r="J274" s="31">
        <f t="shared" si="118"/>
        <v>0</v>
      </c>
      <c r="K274" s="66"/>
      <c r="L274" s="33"/>
      <c r="M274" s="33"/>
      <c r="N274" s="31"/>
      <c r="O274" s="33"/>
      <c r="P274" s="33"/>
      <c r="Q274" s="31">
        <f t="shared" si="119"/>
        <v>0</v>
      </c>
      <c r="R274" s="419">
        <f t="shared" si="90"/>
        <v>0</v>
      </c>
      <c r="S274" s="169">
        <f t="shared" si="107"/>
        <v>0</v>
      </c>
      <c r="T274" s="339">
        <f t="shared" si="120"/>
        <v>0</v>
      </c>
      <c r="U274" s="339"/>
      <c r="V274" s="339">
        <f t="shared" si="121"/>
        <v>0</v>
      </c>
    </row>
    <row r="275" spans="1:22" s="640" customFormat="1" ht="110.25">
      <c r="A275" s="423" t="s">
        <v>895</v>
      </c>
      <c r="B275" s="423" t="s">
        <v>482</v>
      </c>
      <c r="C275" s="423" t="s">
        <v>10</v>
      </c>
      <c r="D275" s="576" t="s">
        <v>891</v>
      </c>
      <c r="E275" s="549">
        <f>F275+I275</f>
        <v>402476000</v>
      </c>
      <c r="F275" s="549">
        <v>402476000</v>
      </c>
      <c r="G275" s="549"/>
      <c r="H275" s="549"/>
      <c r="I275" s="549"/>
      <c r="J275" s="549">
        <f t="shared" si="118"/>
        <v>0</v>
      </c>
      <c r="K275" s="594"/>
      <c r="L275" s="550"/>
      <c r="M275" s="550"/>
      <c r="N275" s="549"/>
      <c r="O275" s="550"/>
      <c r="P275" s="550"/>
      <c r="Q275" s="549">
        <f t="shared" si="119"/>
        <v>402476000</v>
      </c>
      <c r="R275" s="419">
        <f t="shared" ref="R275:R289" si="122">+E275+J275</f>
        <v>402476000</v>
      </c>
      <c r="S275" s="420">
        <f t="shared" si="107"/>
        <v>0</v>
      </c>
      <c r="T275" s="421">
        <f t="shared" si="120"/>
        <v>0</v>
      </c>
      <c r="U275" s="421"/>
      <c r="V275" s="421">
        <f t="shared" si="121"/>
        <v>0</v>
      </c>
    </row>
    <row r="276" spans="1:22" s="640" customFormat="1" ht="223.9" customHeight="1">
      <c r="A276" s="423" t="s">
        <v>767</v>
      </c>
      <c r="B276" s="423" t="s">
        <v>768</v>
      </c>
      <c r="C276" s="423" t="s">
        <v>10</v>
      </c>
      <c r="D276" s="576" t="s">
        <v>769</v>
      </c>
      <c r="E276" s="549">
        <f>F276+I276</f>
        <v>2672953700</v>
      </c>
      <c r="F276" s="549">
        <f>2855953700-183000000</f>
        <v>2672953700</v>
      </c>
      <c r="G276" s="549"/>
      <c r="H276" s="549"/>
      <c r="I276" s="549"/>
      <c r="J276" s="549">
        <f t="shared" si="118"/>
        <v>0</v>
      </c>
      <c r="K276" s="632"/>
      <c r="L276" s="549"/>
      <c r="M276" s="549"/>
      <c r="N276" s="549"/>
      <c r="O276" s="549"/>
      <c r="P276" s="549"/>
      <c r="Q276" s="549">
        <f t="shared" si="119"/>
        <v>2672953700</v>
      </c>
      <c r="R276" s="419">
        <f t="shared" si="122"/>
        <v>2672953700</v>
      </c>
      <c r="S276" s="420">
        <f t="shared" si="107"/>
        <v>0</v>
      </c>
      <c r="T276" s="421">
        <f t="shared" si="120"/>
        <v>0</v>
      </c>
      <c r="U276" s="421"/>
      <c r="V276" s="421">
        <f t="shared" si="121"/>
        <v>0</v>
      </c>
    </row>
    <row r="277" spans="1:22" s="640" customFormat="1" ht="126" customHeight="1">
      <c r="A277" s="423" t="s">
        <v>764</v>
      </c>
      <c r="B277" s="423" t="s">
        <v>765</v>
      </c>
      <c r="C277" s="423" t="s">
        <v>10</v>
      </c>
      <c r="D277" s="576" t="s">
        <v>766</v>
      </c>
      <c r="E277" s="549">
        <f>F277+I277</f>
        <v>200584800</v>
      </c>
      <c r="F277" s="549">
        <f>213584800-13000000</f>
        <v>200584800</v>
      </c>
      <c r="G277" s="549"/>
      <c r="H277" s="549"/>
      <c r="I277" s="549"/>
      <c r="J277" s="549">
        <f t="shared" si="118"/>
        <v>0</v>
      </c>
      <c r="K277" s="632"/>
      <c r="L277" s="549"/>
      <c r="M277" s="549"/>
      <c r="N277" s="549"/>
      <c r="O277" s="549"/>
      <c r="P277" s="549"/>
      <c r="Q277" s="549">
        <f t="shared" si="119"/>
        <v>200584800</v>
      </c>
      <c r="R277" s="419">
        <f t="shared" si="122"/>
        <v>200584800</v>
      </c>
      <c r="S277" s="420">
        <f t="shared" si="107"/>
        <v>0</v>
      </c>
      <c r="T277" s="421">
        <f t="shared" si="120"/>
        <v>0</v>
      </c>
      <c r="U277" s="421"/>
      <c r="V277" s="421">
        <f t="shared" si="121"/>
        <v>0</v>
      </c>
    </row>
    <row r="278" spans="1:22" s="422" customFormat="1" ht="346.5">
      <c r="A278" s="423" t="s">
        <v>761</v>
      </c>
      <c r="B278" s="423" t="s">
        <v>762</v>
      </c>
      <c r="C278" s="423" t="s">
        <v>10</v>
      </c>
      <c r="D278" s="645" t="s">
        <v>949</v>
      </c>
      <c r="E278" s="549">
        <f>F278+I278</f>
        <v>1907803600</v>
      </c>
      <c r="F278" s="549">
        <f>2226143700-25975500+5155000-100000-288732600-8687000</f>
        <v>1907803600</v>
      </c>
      <c r="G278" s="549"/>
      <c r="H278" s="549"/>
      <c r="I278" s="549"/>
      <c r="J278" s="549">
        <f t="shared" si="118"/>
        <v>0</v>
      </c>
      <c r="K278" s="594"/>
      <c r="L278" s="550"/>
      <c r="M278" s="550"/>
      <c r="N278" s="549"/>
      <c r="O278" s="550"/>
      <c r="P278" s="550"/>
      <c r="Q278" s="549">
        <f t="shared" si="119"/>
        <v>1907803600</v>
      </c>
      <c r="R278" s="419">
        <f t="shared" si="122"/>
        <v>1907803600</v>
      </c>
      <c r="S278" s="420">
        <f t="shared" si="107"/>
        <v>0</v>
      </c>
      <c r="T278" s="421">
        <f t="shared" si="120"/>
        <v>0</v>
      </c>
      <c r="U278" s="421"/>
      <c r="V278" s="421">
        <f t="shared" si="121"/>
        <v>0</v>
      </c>
    </row>
    <row r="279" spans="1:22" s="148" customFormat="1" ht="63" hidden="1">
      <c r="A279" s="165" t="s">
        <v>780</v>
      </c>
      <c r="B279" s="165" t="s">
        <v>781</v>
      </c>
      <c r="C279" s="165"/>
      <c r="D279" s="162" t="s">
        <v>782</v>
      </c>
      <c r="E279" s="202">
        <f>E280</f>
        <v>0</v>
      </c>
      <c r="F279" s="202">
        <f t="shared" ref="F279:Q279" si="123">F280</f>
        <v>0</v>
      </c>
      <c r="G279" s="202">
        <f t="shared" si="123"/>
        <v>0</v>
      </c>
      <c r="H279" s="202">
        <f t="shared" si="123"/>
        <v>0</v>
      </c>
      <c r="I279" s="202">
        <f t="shared" si="123"/>
        <v>0</v>
      </c>
      <c r="J279" s="202">
        <f t="shared" si="123"/>
        <v>0</v>
      </c>
      <c r="K279" s="202">
        <f t="shared" si="123"/>
        <v>0</v>
      </c>
      <c r="L279" s="202">
        <f t="shared" si="123"/>
        <v>0</v>
      </c>
      <c r="M279" s="202">
        <f t="shared" si="123"/>
        <v>0</v>
      </c>
      <c r="N279" s="202">
        <f t="shared" si="123"/>
        <v>0</v>
      </c>
      <c r="O279" s="202">
        <f t="shared" si="123"/>
        <v>0</v>
      </c>
      <c r="P279" s="202">
        <f t="shared" si="123"/>
        <v>0</v>
      </c>
      <c r="Q279" s="202">
        <f t="shared" si="123"/>
        <v>0</v>
      </c>
      <c r="R279" s="419">
        <f t="shared" si="122"/>
        <v>0</v>
      </c>
      <c r="S279" s="169">
        <f t="shared" si="107"/>
        <v>0</v>
      </c>
      <c r="T279" s="339">
        <f t="shared" si="120"/>
        <v>0</v>
      </c>
      <c r="U279" s="339"/>
      <c r="V279" s="339">
        <f t="shared" si="121"/>
        <v>0</v>
      </c>
    </row>
    <row r="280" spans="1:22" s="266" customFormat="1" ht="393.75" hidden="1">
      <c r="A280" s="256" t="s">
        <v>784</v>
      </c>
      <c r="B280" s="256" t="s">
        <v>783</v>
      </c>
      <c r="C280" s="256" t="s">
        <v>10</v>
      </c>
      <c r="D280" s="262" t="s">
        <v>785</v>
      </c>
      <c r="E280" s="32">
        <f t="shared" ref="E280:E288" si="124">F280+I280</f>
        <v>0</v>
      </c>
      <c r="F280" s="263"/>
      <c r="G280" s="264"/>
      <c r="H280" s="264"/>
      <c r="I280" s="264"/>
      <c r="J280" s="32">
        <f t="shared" ref="J280:J288" si="125">+K280+N280</f>
        <v>0</v>
      </c>
      <c r="K280" s="265"/>
      <c r="L280" s="264"/>
      <c r="M280" s="264"/>
      <c r="N280" s="264"/>
      <c r="O280" s="264"/>
      <c r="P280" s="264"/>
      <c r="Q280" s="32">
        <f>+J280+E280</f>
        <v>0</v>
      </c>
      <c r="R280" s="419">
        <f t="shared" si="122"/>
        <v>0</v>
      </c>
      <c r="S280" s="169">
        <f t="shared" si="107"/>
        <v>0</v>
      </c>
      <c r="T280" s="339">
        <f t="shared" si="120"/>
        <v>0</v>
      </c>
      <c r="U280" s="339"/>
      <c r="V280" s="339">
        <f t="shared" si="121"/>
        <v>0</v>
      </c>
    </row>
    <row r="281" spans="1:22" s="640" customFormat="1" ht="271.89999999999998" customHeight="1">
      <c r="A281" s="646" t="s">
        <v>776</v>
      </c>
      <c r="B281" s="646" t="s">
        <v>774</v>
      </c>
      <c r="C281" s="646" t="s">
        <v>10</v>
      </c>
      <c r="D281" s="647" t="s">
        <v>775</v>
      </c>
      <c r="E281" s="549">
        <f t="shared" si="124"/>
        <v>36167500</v>
      </c>
      <c r="F281" s="549">
        <f>37351500-1184000</f>
        <v>36167500</v>
      </c>
      <c r="G281" s="549"/>
      <c r="H281" s="549"/>
      <c r="I281" s="549"/>
      <c r="J281" s="549">
        <f t="shared" si="125"/>
        <v>0</v>
      </c>
      <c r="K281" s="549"/>
      <c r="L281" s="549"/>
      <c r="M281" s="549"/>
      <c r="N281" s="549"/>
      <c r="O281" s="549"/>
      <c r="P281" s="549"/>
      <c r="Q281" s="549">
        <f>+J281+E281</f>
        <v>36167500</v>
      </c>
      <c r="R281" s="419">
        <f t="shared" si="122"/>
        <v>36167500</v>
      </c>
      <c r="S281" s="420">
        <f t="shared" si="107"/>
        <v>0</v>
      </c>
      <c r="T281" s="421">
        <f t="shared" si="120"/>
        <v>0</v>
      </c>
      <c r="U281" s="421"/>
      <c r="V281" s="421">
        <f t="shared" si="121"/>
        <v>0</v>
      </c>
    </row>
    <row r="282" spans="1:22" s="15" customFormat="1" ht="63" hidden="1">
      <c r="A282" s="159" t="s">
        <v>786</v>
      </c>
      <c r="B282" s="159" t="s">
        <v>549</v>
      </c>
      <c r="C282" s="159" t="s">
        <v>10</v>
      </c>
      <c r="D282" s="21" t="s">
        <v>550</v>
      </c>
      <c r="E282" s="31">
        <f t="shared" si="124"/>
        <v>0</v>
      </c>
      <c r="F282" s="31"/>
      <c r="G282" s="31"/>
      <c r="H282" s="31"/>
      <c r="I282" s="31"/>
      <c r="J282" s="31">
        <f t="shared" si="125"/>
        <v>0</v>
      </c>
      <c r="K282" s="67"/>
      <c r="L282" s="31"/>
      <c r="M282" s="31"/>
      <c r="N282" s="31"/>
      <c r="O282" s="31"/>
      <c r="P282" s="31"/>
      <c r="Q282" s="31">
        <f>+J282+E282</f>
        <v>0</v>
      </c>
      <c r="R282" s="419">
        <f t="shared" si="122"/>
        <v>0</v>
      </c>
      <c r="S282" s="169">
        <f t="shared" si="107"/>
        <v>0</v>
      </c>
      <c r="T282" s="339">
        <f t="shared" si="120"/>
        <v>0</v>
      </c>
      <c r="U282" s="339"/>
      <c r="V282" s="339">
        <f t="shared" si="121"/>
        <v>0</v>
      </c>
    </row>
    <row r="283" spans="1:22" s="15" customFormat="1" ht="94.5" hidden="1">
      <c r="A283" s="160" t="s">
        <v>771</v>
      </c>
      <c r="B283" s="160" t="s">
        <v>772</v>
      </c>
      <c r="C283" s="160" t="s">
        <v>10</v>
      </c>
      <c r="D283" s="156" t="s">
        <v>773</v>
      </c>
      <c r="E283" s="145">
        <f t="shared" si="124"/>
        <v>0</v>
      </c>
      <c r="F283" s="145"/>
      <c r="G283" s="145"/>
      <c r="H283" s="145"/>
      <c r="I283" s="145"/>
      <c r="J283" s="145">
        <f t="shared" si="125"/>
        <v>0</v>
      </c>
      <c r="K283" s="146"/>
      <c r="L283" s="145"/>
      <c r="M283" s="145"/>
      <c r="N283" s="145"/>
      <c r="O283" s="145"/>
      <c r="P283" s="145"/>
      <c r="Q283" s="145">
        <f t="shared" si="119"/>
        <v>0</v>
      </c>
      <c r="R283" s="419">
        <f t="shared" si="122"/>
        <v>0</v>
      </c>
      <c r="S283" s="169">
        <f t="shared" si="107"/>
        <v>0</v>
      </c>
      <c r="T283" s="339">
        <f t="shared" si="120"/>
        <v>0</v>
      </c>
      <c r="U283" s="339"/>
      <c r="V283" s="339">
        <f t="shared" si="121"/>
        <v>0</v>
      </c>
    </row>
    <row r="284" spans="1:22" s="652" customFormat="1" ht="409.5">
      <c r="A284" s="648">
        <v>3719610</v>
      </c>
      <c r="B284" s="648">
        <v>9610</v>
      </c>
      <c r="C284" s="573" t="s">
        <v>10</v>
      </c>
      <c r="D284" s="649" t="s">
        <v>2538</v>
      </c>
      <c r="E284" s="650">
        <f t="shared" si="124"/>
        <v>0</v>
      </c>
      <c r="F284" s="650"/>
      <c r="G284" s="650"/>
      <c r="H284" s="650"/>
      <c r="I284" s="650"/>
      <c r="J284" s="549">
        <f t="shared" si="125"/>
        <v>6267000</v>
      </c>
      <c r="K284" s="651">
        <v>6267000</v>
      </c>
      <c r="L284" s="650"/>
      <c r="M284" s="650"/>
      <c r="N284" s="650"/>
      <c r="O284" s="650"/>
      <c r="P284" s="650"/>
      <c r="Q284" s="650">
        <f>+J284+E284</f>
        <v>6267000</v>
      </c>
      <c r="R284" s="419">
        <f t="shared" si="122"/>
        <v>6267000</v>
      </c>
      <c r="S284" s="420">
        <f t="shared" si="107"/>
        <v>0</v>
      </c>
      <c r="T284" s="421">
        <f t="shared" si="120"/>
        <v>0</v>
      </c>
      <c r="U284" s="421"/>
      <c r="V284" s="421">
        <f t="shared" si="121"/>
        <v>0</v>
      </c>
    </row>
    <row r="285" spans="1:22" s="640" customFormat="1" ht="94.5">
      <c r="A285" s="646" t="s">
        <v>778</v>
      </c>
      <c r="B285" s="646" t="s">
        <v>777</v>
      </c>
      <c r="C285" s="646" t="s">
        <v>10</v>
      </c>
      <c r="D285" s="647" t="s">
        <v>779</v>
      </c>
      <c r="E285" s="549">
        <f t="shared" si="124"/>
        <v>2559800</v>
      </c>
      <c r="F285" s="549">
        <f>558000+2861500-859700</f>
        <v>2559800</v>
      </c>
      <c r="G285" s="549"/>
      <c r="H285" s="549"/>
      <c r="I285" s="549"/>
      <c r="J285" s="549">
        <f t="shared" si="125"/>
        <v>0</v>
      </c>
      <c r="K285" s="549"/>
      <c r="L285" s="549"/>
      <c r="M285" s="549"/>
      <c r="N285" s="549"/>
      <c r="O285" s="549"/>
      <c r="P285" s="549"/>
      <c r="Q285" s="549">
        <f t="shared" si="119"/>
        <v>2559800</v>
      </c>
      <c r="R285" s="419">
        <f t="shared" si="122"/>
        <v>2559800</v>
      </c>
      <c r="S285" s="420">
        <f t="shared" si="107"/>
        <v>0</v>
      </c>
      <c r="T285" s="421">
        <f t="shared" si="120"/>
        <v>0</v>
      </c>
      <c r="U285" s="421"/>
      <c r="V285" s="421">
        <f t="shared" si="121"/>
        <v>0</v>
      </c>
    </row>
    <row r="286" spans="1:22" s="640" customFormat="1" ht="47.25">
      <c r="A286" s="646" t="s">
        <v>941</v>
      </c>
      <c r="B286" s="646" t="s">
        <v>942</v>
      </c>
      <c r="C286" s="646" t="s">
        <v>10</v>
      </c>
      <c r="D286" s="647" t="s">
        <v>943</v>
      </c>
      <c r="E286" s="549">
        <f t="shared" si="124"/>
        <v>0</v>
      </c>
      <c r="F286" s="549"/>
      <c r="G286" s="549"/>
      <c r="H286" s="549"/>
      <c r="I286" s="549"/>
      <c r="J286" s="549">
        <f t="shared" si="125"/>
        <v>1000000</v>
      </c>
      <c r="K286" s="549"/>
      <c r="L286" s="549"/>
      <c r="M286" s="549"/>
      <c r="N286" s="549">
        <v>1000000</v>
      </c>
      <c r="O286" s="549">
        <v>1000000</v>
      </c>
      <c r="P286" s="549">
        <v>1000000</v>
      </c>
      <c r="Q286" s="549">
        <f t="shared" si="119"/>
        <v>1000000</v>
      </c>
      <c r="R286" s="419">
        <f t="shared" si="122"/>
        <v>1000000</v>
      </c>
      <c r="S286" s="420">
        <f t="shared" si="107"/>
        <v>0</v>
      </c>
      <c r="T286" s="421">
        <f t="shared" si="120"/>
        <v>0</v>
      </c>
      <c r="U286" s="421"/>
      <c r="V286" s="421">
        <f t="shared" si="121"/>
        <v>0</v>
      </c>
    </row>
    <row r="287" spans="1:22" s="640" customFormat="1" ht="43.15" customHeight="1">
      <c r="A287" s="423" t="s">
        <v>787</v>
      </c>
      <c r="B287" s="423" t="s">
        <v>515</v>
      </c>
      <c r="C287" s="423" t="s">
        <v>10</v>
      </c>
      <c r="D287" s="597" t="s">
        <v>596</v>
      </c>
      <c r="E287" s="549">
        <f t="shared" si="124"/>
        <v>9434662</v>
      </c>
      <c r="F287" s="549">
        <f>50000+1700000+100000+2662200+160000+2342609+14400+2269953+14500+51000+70000</f>
        <v>9434662</v>
      </c>
      <c r="G287" s="549"/>
      <c r="H287" s="549"/>
      <c r="I287" s="549"/>
      <c r="J287" s="549">
        <f t="shared" si="125"/>
        <v>11231599</v>
      </c>
      <c r="K287" s="549"/>
      <c r="L287" s="549"/>
      <c r="M287" s="549"/>
      <c r="N287" s="549">
        <f>3701700+35000+4651952+170400+1828047+65500-51000+580000+250000</f>
        <v>11231599</v>
      </c>
      <c r="O287" s="549">
        <f>3701700+35000+4651952+170400+1828047+65500-51000+580000+250000</f>
        <v>11231599</v>
      </c>
      <c r="P287" s="549">
        <f>3701700+35000+4651952+170400+1828047+65500-51000+580000+250000</f>
        <v>11231599</v>
      </c>
      <c r="Q287" s="549">
        <f>+J287+E287</f>
        <v>20666261</v>
      </c>
      <c r="R287" s="419">
        <f t="shared" si="122"/>
        <v>20666261</v>
      </c>
      <c r="S287" s="420">
        <f t="shared" si="107"/>
        <v>0</v>
      </c>
      <c r="T287" s="421">
        <f t="shared" si="120"/>
        <v>0</v>
      </c>
      <c r="U287" s="421"/>
      <c r="V287" s="421">
        <f t="shared" si="121"/>
        <v>0</v>
      </c>
    </row>
    <row r="288" spans="1:22" s="652" customFormat="1" ht="63">
      <c r="A288" s="646" t="s">
        <v>770</v>
      </c>
      <c r="B288" s="646" t="s">
        <v>510</v>
      </c>
      <c r="C288" s="646" t="s">
        <v>10</v>
      </c>
      <c r="D288" s="576" t="s">
        <v>511</v>
      </c>
      <c r="E288" s="549">
        <f t="shared" si="124"/>
        <v>7671079</v>
      </c>
      <c r="F288" s="549">
        <f>2964975-35000+319900+1151550+198000+858000+650000+31104+892100+250000+110450+280000</f>
        <v>7671079</v>
      </c>
      <c r="G288" s="549"/>
      <c r="H288" s="549"/>
      <c r="I288" s="549"/>
      <c r="J288" s="549">
        <f t="shared" si="125"/>
        <v>6626821</v>
      </c>
      <c r="K288" s="632"/>
      <c r="L288" s="549"/>
      <c r="M288" s="549"/>
      <c r="N288" s="549">
        <f>2958825+1000000+35000+1027000+201550+66000+700000-31104+500000+140000+29550</f>
        <v>6626821</v>
      </c>
      <c r="O288" s="549">
        <f>2958825+1000000+35000+1027000+201550+66000+700000-31104+500000+140000+29550</f>
        <v>6626821</v>
      </c>
      <c r="P288" s="549">
        <f>2958825+1000000+35000+1027000+201550+66000+700000-31104+500000+140000+29550</f>
        <v>6626821</v>
      </c>
      <c r="Q288" s="549">
        <f>+J288+E288</f>
        <v>14297900</v>
      </c>
      <c r="R288" s="419">
        <f t="shared" si="122"/>
        <v>14297900</v>
      </c>
      <c r="S288" s="420">
        <f t="shared" si="107"/>
        <v>0</v>
      </c>
      <c r="T288" s="421">
        <f t="shared" si="120"/>
        <v>0</v>
      </c>
      <c r="U288" s="421"/>
      <c r="V288" s="421">
        <f t="shared" si="121"/>
        <v>0</v>
      </c>
    </row>
    <row r="289" spans="1:22" s="600" customFormat="1" ht="15.75">
      <c r="A289" s="598"/>
      <c r="B289" s="598"/>
      <c r="C289" s="598"/>
      <c r="D289" s="653" t="s">
        <v>85</v>
      </c>
      <c r="E289" s="599">
        <f t="shared" ref="E289:Q289" si="126">+E13+E27+E32+E53+E82+E145+E117+E266+E126+E239+E230+E184+E246+E270+E250+E258</f>
        <v>7678212982.4200001</v>
      </c>
      <c r="F289" s="599">
        <f t="shared" si="126"/>
        <v>7546303720.7700005</v>
      </c>
      <c r="G289" s="599">
        <f t="shared" si="126"/>
        <v>457625456</v>
      </c>
      <c r="H289" s="599">
        <f t="shared" si="126"/>
        <v>76728523</v>
      </c>
      <c r="I289" s="599">
        <f t="shared" si="126"/>
        <v>130687620.65000001</v>
      </c>
      <c r="J289" s="599">
        <f t="shared" si="126"/>
        <v>1474341133.3299999</v>
      </c>
      <c r="K289" s="599">
        <f t="shared" si="126"/>
        <v>740888492.54999995</v>
      </c>
      <c r="L289" s="599">
        <f t="shared" si="126"/>
        <v>2666776</v>
      </c>
      <c r="M289" s="599">
        <f t="shared" si="126"/>
        <v>1170958</v>
      </c>
      <c r="N289" s="599">
        <f t="shared" si="126"/>
        <v>733452640.77999997</v>
      </c>
      <c r="O289" s="599">
        <f t="shared" si="126"/>
        <v>500744544.38</v>
      </c>
      <c r="P289" s="599">
        <f t="shared" si="126"/>
        <v>360381404.35000002</v>
      </c>
      <c r="Q289" s="599">
        <f t="shared" si="126"/>
        <v>9152554115.75</v>
      </c>
      <c r="R289" s="419">
        <f t="shared" si="122"/>
        <v>9152554115.75</v>
      </c>
      <c r="S289" s="420">
        <f>SUM(S13:S288)</f>
        <v>78735778</v>
      </c>
      <c r="T289" s="421">
        <f t="shared" si="120"/>
        <v>-140363140.02999997</v>
      </c>
      <c r="U289" s="421"/>
      <c r="V289" s="421">
        <f t="shared" si="121"/>
        <v>-232708096.39999998</v>
      </c>
    </row>
    <row r="290" spans="1:22" s="422" customFormat="1" ht="15.75">
      <c r="A290" s="654"/>
      <c r="B290" s="654"/>
      <c r="C290" s="654"/>
      <c r="D290" s="655"/>
      <c r="E290" s="656"/>
      <c r="F290" s="656"/>
      <c r="G290" s="657"/>
      <c r="H290" s="657"/>
      <c r="I290" s="657"/>
      <c r="J290" s="657"/>
      <c r="K290" s="657"/>
      <c r="L290" s="657"/>
      <c r="M290" s="657"/>
      <c r="N290" s="657"/>
      <c r="O290" s="657"/>
      <c r="P290" s="657"/>
      <c r="Q290" s="656"/>
      <c r="R290" s="658">
        <v>1</v>
      </c>
      <c r="S290" s="606">
        <f>S289-дод1!F142</f>
        <v>51831436</v>
      </c>
      <c r="V290" s="659">
        <f>N290-O290</f>
        <v>0</v>
      </c>
    </row>
    <row r="291" spans="1:22" s="422" customFormat="1" ht="61.15" customHeight="1">
      <c r="A291" s="654"/>
      <c r="B291" s="654"/>
      <c r="C291" s="654"/>
      <c r="D291" s="489" t="s">
        <v>271</v>
      </c>
      <c r="E291" s="489"/>
      <c r="F291" s="660"/>
      <c r="G291" s="661"/>
      <c r="I291" s="662"/>
      <c r="J291" s="663"/>
      <c r="K291" s="663"/>
      <c r="L291" s="489" t="s">
        <v>2337</v>
      </c>
      <c r="M291" s="663"/>
      <c r="N291" s="656"/>
      <c r="O291" s="664"/>
      <c r="P291" s="665"/>
      <c r="R291" s="658">
        <v>1</v>
      </c>
      <c r="S291" s="606">
        <f>R291-N291</f>
        <v>1</v>
      </c>
      <c r="V291" s="659" t="e">
        <f>#REF!-O291</f>
        <v>#REF!</v>
      </c>
    </row>
    <row r="292" spans="1:22" s="669" customFormat="1" ht="14.1" hidden="1" customHeight="1">
      <c r="A292" s="666"/>
      <c r="B292" s="666"/>
      <c r="C292" s="666"/>
      <c r="D292" s="667" t="s">
        <v>118</v>
      </c>
      <c r="E292" s="668">
        <f t="shared" ref="E292:R292" si="127">E14+E28+E33+E146+E54+E83+E118+E127+E240+E185+E231+E267+E251+E271+E247+E259</f>
        <v>7678212982.4200001</v>
      </c>
      <c r="F292" s="668">
        <f t="shared" si="127"/>
        <v>7546303720.7700005</v>
      </c>
      <c r="G292" s="668">
        <f t="shared" si="127"/>
        <v>457625456</v>
      </c>
      <c r="H292" s="668">
        <f t="shared" si="127"/>
        <v>76728523</v>
      </c>
      <c r="I292" s="668">
        <f t="shared" si="127"/>
        <v>130687620.65000001</v>
      </c>
      <c r="J292" s="668">
        <f t="shared" si="127"/>
        <v>1474341133.3299999</v>
      </c>
      <c r="K292" s="668">
        <f t="shared" si="127"/>
        <v>740888492.54999995</v>
      </c>
      <c r="L292" s="668">
        <f t="shared" si="127"/>
        <v>2666776</v>
      </c>
      <c r="M292" s="668">
        <f t="shared" si="127"/>
        <v>1170958</v>
      </c>
      <c r="N292" s="668">
        <f t="shared" si="127"/>
        <v>733452640.77999997</v>
      </c>
      <c r="O292" s="668">
        <f t="shared" si="127"/>
        <v>500744544.38</v>
      </c>
      <c r="P292" s="668">
        <f t="shared" si="127"/>
        <v>360381404.35000002</v>
      </c>
      <c r="Q292" s="668">
        <f t="shared" si="127"/>
        <v>9152554115.75</v>
      </c>
      <c r="R292" s="668">
        <f t="shared" si="127"/>
        <v>9152554115.75</v>
      </c>
    </row>
    <row r="293" spans="1:22" s="192" customFormat="1" ht="14.1" hidden="1" customHeight="1">
      <c r="A293" s="190"/>
      <c r="B293" s="190"/>
      <c r="C293" s="190"/>
      <c r="D293" s="189"/>
      <c r="E293" s="189" t="b">
        <f>E289=E292</f>
        <v>1</v>
      </c>
      <c r="F293" s="189" t="b">
        <f t="shared" ref="F293:P293" si="128">F289=F292</f>
        <v>1</v>
      </c>
      <c r="G293" s="189" t="b">
        <f t="shared" si="128"/>
        <v>1</v>
      </c>
      <c r="H293" s="189" t="b">
        <f t="shared" si="128"/>
        <v>1</v>
      </c>
      <c r="I293" s="189" t="b">
        <f t="shared" si="128"/>
        <v>1</v>
      </c>
      <c r="J293" s="191">
        <f>J289-J292</f>
        <v>0</v>
      </c>
      <c r="K293" s="189" t="b">
        <f t="shared" si="128"/>
        <v>1</v>
      </c>
      <c r="L293" s="189" t="b">
        <f t="shared" si="128"/>
        <v>1</v>
      </c>
      <c r="M293" s="189" t="b">
        <f t="shared" si="128"/>
        <v>1</v>
      </c>
      <c r="N293" s="191">
        <f>N289-N292</f>
        <v>0</v>
      </c>
      <c r="O293" s="189" t="b">
        <f t="shared" si="128"/>
        <v>1</v>
      </c>
      <c r="P293" s="189" t="b">
        <f t="shared" si="128"/>
        <v>1</v>
      </c>
      <c r="Q293" s="191">
        <f>Q289-Q292</f>
        <v>0</v>
      </c>
      <c r="R293" s="189" t="b">
        <f>R289=R292</f>
        <v>1</v>
      </c>
    </row>
    <row r="294" spans="1:22" s="64" customFormat="1" ht="14.1" hidden="1" customHeight="1">
      <c r="A294" s="161"/>
      <c r="B294" s="161"/>
      <c r="C294" s="161"/>
      <c r="D294" s="17"/>
      <c r="E294" s="196" t="b">
        <f>E292=E289</f>
        <v>1</v>
      </c>
      <c r="F294" s="196" t="b">
        <f t="shared" ref="F294:R294" si="129">F292=F289</f>
        <v>1</v>
      </c>
      <c r="G294" s="196" t="b">
        <f t="shared" si="129"/>
        <v>1</v>
      </c>
      <c r="H294" s="196" t="b">
        <f t="shared" si="129"/>
        <v>1</v>
      </c>
      <c r="I294" s="196" t="b">
        <f t="shared" si="129"/>
        <v>1</v>
      </c>
      <c r="J294" s="196">
        <f>J292-J289</f>
        <v>0</v>
      </c>
      <c r="K294" s="196" t="b">
        <f t="shared" si="129"/>
        <v>1</v>
      </c>
      <c r="L294" s="196" t="b">
        <f t="shared" si="129"/>
        <v>1</v>
      </c>
      <c r="M294" s="196" t="b">
        <f t="shared" si="129"/>
        <v>1</v>
      </c>
      <c r="N294" s="196">
        <f>N292-N289</f>
        <v>0</v>
      </c>
      <c r="O294" s="196" t="b">
        <f t="shared" si="129"/>
        <v>1</v>
      </c>
      <c r="P294" s="196" t="b">
        <f t="shared" si="129"/>
        <v>1</v>
      </c>
      <c r="Q294" s="196">
        <f>Q292-Q289</f>
        <v>0</v>
      </c>
      <c r="R294" s="196" t="b">
        <f t="shared" si="129"/>
        <v>1</v>
      </c>
      <c r="S294" s="312" t="e">
        <f>#REF!+1000000+3060000</f>
        <v>#REF!</v>
      </c>
    </row>
    <row r="295" spans="1:22" s="64" customFormat="1" ht="14.1" hidden="1" customHeight="1">
      <c r="A295" s="161"/>
      <c r="B295" s="161"/>
      <c r="C295" s="161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63"/>
      <c r="Q295" s="17"/>
      <c r="R295" s="17"/>
    </row>
    <row r="296" spans="1:22" s="64" customFormat="1" ht="14.1" hidden="1" customHeight="1">
      <c r="A296" s="161"/>
      <c r="B296" s="161"/>
      <c r="C296" s="161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97">
        <f>E289+P289</f>
        <v>8038594386.7700005</v>
      </c>
      <c r="P296" s="63"/>
      <c r="Q296" s="17"/>
      <c r="R296" s="17"/>
    </row>
    <row r="297" spans="1:22" s="64" customFormat="1" ht="14.1" hidden="1" customHeight="1">
      <c r="A297" s="161"/>
      <c r="B297" s="161"/>
      <c r="C297" s="161"/>
      <c r="D297" s="17"/>
      <c r="E297" s="197" t="b">
        <f>E292=E289</f>
        <v>1</v>
      </c>
      <c r="F297" s="197" t="b">
        <f t="shared" ref="F297:R297" si="130">F292=F289</f>
        <v>1</v>
      </c>
      <c r="G297" s="197" t="b">
        <f t="shared" si="130"/>
        <v>1</v>
      </c>
      <c r="H297" s="197" t="b">
        <f t="shared" si="130"/>
        <v>1</v>
      </c>
      <c r="I297" s="197" t="b">
        <f t="shared" si="130"/>
        <v>1</v>
      </c>
      <c r="J297" s="197" t="b">
        <f t="shared" si="130"/>
        <v>1</v>
      </c>
      <c r="K297" s="197" t="b">
        <f t="shared" si="130"/>
        <v>1</v>
      </c>
      <c r="L297" s="197" t="b">
        <f t="shared" si="130"/>
        <v>1</v>
      </c>
      <c r="M297" s="197" t="b">
        <f t="shared" si="130"/>
        <v>1</v>
      </c>
      <c r="N297" s="197" t="b">
        <f t="shared" si="130"/>
        <v>1</v>
      </c>
      <c r="O297" s="197" t="b">
        <f t="shared" si="130"/>
        <v>1</v>
      </c>
      <c r="P297" s="197" t="b">
        <f t="shared" si="130"/>
        <v>1</v>
      </c>
      <c r="Q297" s="197" t="b">
        <f t="shared" si="130"/>
        <v>1</v>
      </c>
      <c r="R297" s="197" t="b">
        <f t="shared" si="130"/>
        <v>1</v>
      </c>
    </row>
    <row r="298" spans="1:22" s="64" customFormat="1" hidden="1">
      <c r="A298" s="161"/>
      <c r="B298" s="161"/>
      <c r="C298" s="161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63"/>
      <c r="Q298" s="17"/>
      <c r="R298" s="17"/>
    </row>
    <row r="299" spans="1:22" s="64" customFormat="1" hidden="1">
      <c r="A299" s="161"/>
      <c r="B299" s="161"/>
      <c r="C299" s="161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63"/>
      <c r="Q299" s="17"/>
      <c r="R299" s="17"/>
    </row>
    <row r="300" spans="1:22" s="64" customFormat="1" hidden="1">
      <c r="A300" s="161"/>
      <c r="B300" s="161"/>
      <c r="C300" s="161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63"/>
      <c r="Q300" s="197">
        <f>E289+J289</f>
        <v>9152554115.75</v>
      </c>
      <c r="R300" s="17"/>
    </row>
    <row r="301" spans="1:22" s="64" customFormat="1" hidden="1">
      <c r="G301" s="197">
        <f>F289+P289+E273</f>
        <v>7907906766.1200008</v>
      </c>
      <c r="H301" s="17"/>
      <c r="I301" s="17"/>
      <c r="J301" s="17"/>
      <c r="K301" s="17"/>
      <c r="L301" s="17"/>
      <c r="M301" s="17"/>
      <c r="N301" s="17"/>
      <c r="O301" s="17"/>
      <c r="P301" s="63"/>
      <c r="Q301" s="197">
        <f>O289-P289</f>
        <v>140363140.02999997</v>
      </c>
    </row>
    <row r="302" spans="1:22" s="64" customFormat="1" hidden="1">
      <c r="A302" s="161"/>
      <c r="B302" s="161"/>
      <c r="C302" s="161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63"/>
      <c r="Q302" s="17"/>
      <c r="R302" s="17"/>
    </row>
    <row r="303" spans="1:22" s="64" customFormat="1" hidden="1">
      <c r="G303" s="17"/>
      <c r="H303" s="17"/>
      <c r="I303" s="17"/>
      <c r="J303" s="17"/>
      <c r="K303" s="17"/>
      <c r="L303" s="17"/>
      <c r="M303" s="17"/>
      <c r="N303" s="197">
        <f>O289-N289</f>
        <v>-232708096.39999998</v>
      </c>
      <c r="O303" s="17"/>
      <c r="P303" s="63"/>
      <c r="Q303" s="17"/>
    </row>
    <row r="304" spans="1:22" s="64" customFormat="1" hidden="1">
      <c r="A304" s="161"/>
      <c r="B304" s="161"/>
      <c r="C304" s="161"/>
      <c r="D304" s="17"/>
      <c r="E304" s="197">
        <f>E292-E289</f>
        <v>0</v>
      </c>
      <c r="F304" s="197">
        <f t="shared" ref="F304:R304" si="131">F292-F289</f>
        <v>0</v>
      </c>
      <c r="G304" s="197">
        <f t="shared" si="131"/>
        <v>0</v>
      </c>
      <c r="H304" s="197">
        <f t="shared" si="131"/>
        <v>0</v>
      </c>
      <c r="I304" s="197">
        <f t="shared" si="131"/>
        <v>0</v>
      </c>
      <c r="J304" s="197">
        <f t="shared" si="131"/>
        <v>0</v>
      </c>
      <c r="K304" s="197">
        <f t="shared" si="131"/>
        <v>0</v>
      </c>
      <c r="L304" s="197">
        <f t="shared" si="131"/>
        <v>0</v>
      </c>
      <c r="M304" s="197">
        <f t="shared" si="131"/>
        <v>0</v>
      </c>
      <c r="N304" s="197">
        <f t="shared" si="131"/>
        <v>0</v>
      </c>
      <c r="O304" s="197">
        <f t="shared" si="131"/>
        <v>0</v>
      </c>
      <c r="P304" s="197">
        <f t="shared" si="131"/>
        <v>0</v>
      </c>
      <c r="Q304" s="197">
        <f t="shared" si="131"/>
        <v>0</v>
      </c>
      <c r="R304" s="197">
        <f t="shared" si="131"/>
        <v>0</v>
      </c>
      <c r="S304" s="312">
        <f>S45+S59+S196+S220+S234</f>
        <v>26283641</v>
      </c>
    </row>
    <row r="305" spans="1:20" s="64" customFormat="1" hidden="1">
      <c r="A305" s="161"/>
      <c r="B305" s="161"/>
      <c r="C305" s="161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63"/>
      <c r="Q305" s="17"/>
      <c r="R305" s="17"/>
      <c r="S305" s="312">
        <f>дод1!C142</f>
        <v>28006502</v>
      </c>
    </row>
    <row r="306" spans="1:20" s="64" customFormat="1" hidden="1">
      <c r="A306" s="161"/>
      <c r="B306" s="161"/>
      <c r="C306" s="161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63"/>
      <c r="Q306" s="17"/>
      <c r="R306" s="17"/>
      <c r="S306" s="312">
        <f>S305-S304</f>
        <v>1722861</v>
      </c>
    </row>
    <row r="307" spans="1:20" s="64" customFormat="1" hidden="1">
      <c r="A307" s="161"/>
      <c r="B307" s="161"/>
      <c r="C307" s="161"/>
      <c r="D307" s="17"/>
      <c r="E307" s="197">
        <f>E289-E292</f>
        <v>0</v>
      </c>
      <c r="F307" s="197">
        <f t="shared" ref="F307:Q307" si="132">F289-F292</f>
        <v>0</v>
      </c>
      <c r="G307" s="197">
        <f t="shared" si="132"/>
        <v>0</v>
      </c>
      <c r="H307" s="197">
        <f t="shared" si="132"/>
        <v>0</v>
      </c>
      <c r="I307" s="197">
        <f t="shared" si="132"/>
        <v>0</v>
      </c>
      <c r="J307" s="197">
        <f t="shared" si="132"/>
        <v>0</v>
      </c>
      <c r="K307" s="197">
        <f t="shared" si="132"/>
        <v>0</v>
      </c>
      <c r="L307" s="197">
        <f t="shared" si="132"/>
        <v>0</v>
      </c>
      <c r="M307" s="197">
        <f t="shared" si="132"/>
        <v>0</v>
      </c>
      <c r="N307" s="197">
        <f t="shared" si="132"/>
        <v>0</v>
      </c>
      <c r="O307" s="197">
        <f t="shared" si="132"/>
        <v>0</v>
      </c>
      <c r="P307" s="197">
        <f t="shared" si="132"/>
        <v>0</v>
      </c>
      <c r="Q307" s="197">
        <f t="shared" si="132"/>
        <v>0</v>
      </c>
      <c r="R307" s="17"/>
    </row>
    <row r="308" spans="1:20" s="269" customFormat="1" hidden="1">
      <c r="A308" s="361"/>
      <c r="B308" s="361"/>
      <c r="C308" s="361"/>
      <c r="D308" s="355"/>
      <c r="E308" s="355"/>
      <c r="F308" s="355"/>
      <c r="G308" s="355"/>
      <c r="H308" s="355"/>
      <c r="I308" s="355"/>
      <c r="J308" s="355"/>
      <c r="K308" s="355"/>
      <c r="L308" s="355"/>
      <c r="M308" s="355"/>
      <c r="N308" s="355"/>
      <c r="O308" s="355"/>
      <c r="P308" s="362"/>
      <c r="Q308" s="355"/>
      <c r="R308" s="355"/>
    </row>
    <row r="309" spans="1:20" s="269" customFormat="1" hidden="1">
      <c r="G309" s="355"/>
      <c r="H309" s="355"/>
      <c r="I309" s="355"/>
      <c r="J309" s="355"/>
      <c r="K309" s="355"/>
      <c r="L309" s="355"/>
      <c r="M309" s="355"/>
      <c r="N309" s="355"/>
      <c r="O309" s="355"/>
      <c r="P309" s="360"/>
      <c r="Q309" s="355"/>
    </row>
    <row r="310" spans="1:20" s="269" customFormat="1" hidden="1">
      <c r="G310" s="355"/>
      <c r="H310" s="355"/>
      <c r="I310" s="355"/>
      <c r="J310" s="355"/>
      <c r="K310" s="355"/>
      <c r="L310" s="355"/>
      <c r="M310" s="355"/>
      <c r="N310" s="355"/>
      <c r="O310" s="355"/>
      <c r="P310" s="360"/>
      <c r="Q310" s="355"/>
    </row>
    <row r="311" spans="1:20" s="269" customFormat="1" hidden="1">
      <c r="G311" s="355"/>
      <c r="H311" s="355"/>
      <c r="I311" s="355"/>
      <c r="J311" s="355"/>
      <c r="K311" s="355"/>
      <c r="L311" s="355"/>
      <c r="M311" s="355"/>
      <c r="N311" s="355"/>
      <c r="O311" s="355"/>
      <c r="P311" s="360">
        <f>P309-P310</f>
        <v>0</v>
      </c>
      <c r="Q311" s="355"/>
    </row>
    <row r="312" spans="1:20" s="269" customFormat="1" hidden="1">
      <c r="A312" s="361"/>
      <c r="B312" s="361"/>
      <c r="C312" s="361"/>
      <c r="D312" s="355"/>
      <c r="E312" s="355"/>
      <c r="F312" s="355"/>
      <c r="G312" s="355"/>
      <c r="H312" s="355"/>
      <c r="I312" s="355"/>
      <c r="J312" s="355"/>
      <c r="K312" s="355"/>
      <c r="L312" s="355"/>
      <c r="M312" s="355"/>
      <c r="N312" s="355"/>
      <c r="O312" s="355"/>
      <c r="P312" s="362"/>
      <c r="Q312" s="355"/>
      <c r="R312" s="355"/>
    </row>
    <row r="313" spans="1:20" s="269" customFormat="1" hidden="1">
      <c r="A313" s="361"/>
      <c r="B313" s="361"/>
      <c r="C313" s="361"/>
      <c r="D313" s="355"/>
      <c r="E313" s="355"/>
      <c r="F313" s="355"/>
      <c r="G313" s="355"/>
      <c r="H313" s="355"/>
      <c r="I313" s="355"/>
      <c r="J313" s="355"/>
      <c r="K313" s="355"/>
      <c r="L313" s="355"/>
      <c r="M313" s="355"/>
      <c r="N313" s="355"/>
      <c r="O313" s="355"/>
      <c r="P313" s="362"/>
      <c r="Q313" s="355"/>
      <c r="R313" s="355"/>
      <c r="T313" s="391">
        <f>дод1!F137+дод1!F139+дод1!F140+дод1!F141+дод1!F142</f>
        <v>61045440.030000001</v>
      </c>
    </row>
    <row r="314" spans="1:20" s="269" customFormat="1" hidden="1">
      <c r="A314" s="361"/>
      <c r="B314" s="361"/>
      <c r="C314" s="361"/>
      <c r="D314" s="355"/>
      <c r="E314" s="355"/>
      <c r="F314" s="355"/>
      <c r="G314" s="355"/>
      <c r="H314" s="355"/>
      <c r="I314" s="355"/>
      <c r="J314" s="355"/>
      <c r="K314" s="355"/>
      <c r="L314" s="355"/>
      <c r="M314" s="355"/>
      <c r="N314" s="355"/>
      <c r="O314" s="355"/>
      <c r="P314" s="362"/>
      <c r="Q314" s="355"/>
      <c r="R314" s="355"/>
      <c r="T314" s="391">
        <f>T289+T313</f>
        <v>-79317699.99999997</v>
      </c>
    </row>
    <row r="315" spans="1:20" s="269" customFormat="1" hidden="1">
      <c r="A315" s="361"/>
      <c r="B315" s="361"/>
      <c r="C315" s="361"/>
      <c r="D315" s="355"/>
      <c r="E315" s="355"/>
      <c r="F315" s="355"/>
      <c r="G315" s="355"/>
      <c r="H315" s="355"/>
      <c r="I315" s="355"/>
      <c r="J315" s="355"/>
      <c r="K315" s="355"/>
      <c r="L315" s="355"/>
      <c r="M315" s="355"/>
      <c r="N315" s="355"/>
      <c r="O315" s="355">
        <v>311170096.75999999</v>
      </c>
      <c r="P315" s="362"/>
      <c r="Q315" s="355"/>
      <c r="R315" s="355"/>
    </row>
    <row r="316" spans="1:20" s="269" customFormat="1" hidden="1">
      <c r="A316" s="361"/>
      <c r="B316" s="361"/>
      <c r="C316" s="361"/>
      <c r="D316" s="355"/>
      <c r="E316" s="355"/>
      <c r="F316" s="355"/>
      <c r="G316" s="355"/>
      <c r="H316" s="355"/>
      <c r="I316" s="355"/>
      <c r="J316" s="355"/>
      <c r="K316" s="355"/>
      <c r="L316" s="355"/>
      <c r="M316" s="355"/>
      <c r="N316" s="355"/>
      <c r="O316" s="386">
        <f>O289-O315</f>
        <v>189574447.62</v>
      </c>
      <c r="P316" s="362"/>
      <c r="Q316" s="355"/>
      <c r="R316" s="355"/>
    </row>
    <row r="317" spans="1:20" s="269" customFormat="1" hidden="1">
      <c r="A317" s="361"/>
      <c r="B317" s="361"/>
      <c r="C317" s="361"/>
      <c r="D317" s="355"/>
      <c r="E317" s="355"/>
      <c r="F317" s="355"/>
      <c r="G317" s="355"/>
      <c r="H317" s="355"/>
      <c r="I317" s="355"/>
      <c r="J317" s="355"/>
      <c r="K317" s="355"/>
      <c r="L317" s="355"/>
      <c r="M317" s="355"/>
      <c r="N317" s="355"/>
      <c r="O317" s="355"/>
      <c r="P317" s="362"/>
      <c r="Q317" s="355"/>
      <c r="R317" s="355"/>
    </row>
    <row r="318" spans="1:20" s="269" customFormat="1" hidden="1">
      <c r="A318" s="361"/>
      <c r="B318" s="361"/>
      <c r="C318" s="361"/>
      <c r="D318" s="355"/>
      <c r="E318" s="355"/>
      <c r="F318" s="355"/>
      <c r="G318" s="355"/>
      <c r="H318" s="355"/>
      <c r="I318" s="355"/>
      <c r="J318" s="355"/>
      <c r="K318" s="355"/>
      <c r="L318" s="355"/>
      <c r="M318" s="355"/>
      <c r="N318" s="355"/>
      <c r="O318" s="355"/>
      <c r="P318" s="362"/>
      <c r="Q318" s="355"/>
      <c r="R318" s="355"/>
    </row>
    <row r="319" spans="1:20" s="269" customFormat="1" hidden="1">
      <c r="A319" s="361"/>
      <c r="B319" s="361"/>
      <c r="C319" s="361"/>
      <c r="D319" s="355"/>
      <c r="E319" s="355"/>
      <c r="F319" s="355"/>
      <c r="G319" s="355"/>
      <c r="H319" s="355"/>
      <c r="I319" s="355"/>
      <c r="J319" s="355"/>
      <c r="K319" s="355"/>
      <c r="L319" s="355"/>
      <c r="M319" s="355"/>
      <c r="N319" s="355"/>
      <c r="O319" s="355"/>
      <c r="P319" s="362"/>
      <c r="Q319" s="386">
        <f>Q139+Q181+Q187+Q211+Q216+Q217+Q220+Q221+Q226+Q227</f>
        <v>272226234.02999997</v>
      </c>
      <c r="R319" s="355"/>
    </row>
    <row r="320" spans="1:20" hidden="1"/>
    <row r="321" hidden="1"/>
    <row r="322" hidden="1"/>
    <row r="323" hidden="1"/>
  </sheetData>
  <autoFilter ref="R1:R319">
    <filterColumn colId="0">
      <customFilters and="1">
        <customFilter operator="greaterThan" val="0"/>
      </customFilters>
    </filterColumn>
  </autoFilter>
  <mergeCells count="25">
    <mergeCell ref="N1:Q1"/>
    <mergeCell ref="Q6:Q11"/>
    <mergeCell ref="O8:O11"/>
    <mergeCell ref="L9:L11"/>
    <mergeCell ref="M9:M11"/>
    <mergeCell ref="J7:J11"/>
    <mergeCell ref="N2:Q2"/>
    <mergeCell ref="N3:Q3"/>
    <mergeCell ref="J6:P6"/>
    <mergeCell ref="A4:Q4"/>
    <mergeCell ref="A6:A11"/>
    <mergeCell ref="E7:E11"/>
    <mergeCell ref="K7:K11"/>
    <mergeCell ref="B6:B11"/>
    <mergeCell ref="C6:C11"/>
    <mergeCell ref="D6:D11"/>
    <mergeCell ref="P9:P11"/>
    <mergeCell ref="E6:I6"/>
    <mergeCell ref="F7:F11"/>
    <mergeCell ref="H9:H11"/>
    <mergeCell ref="I7:I11"/>
    <mergeCell ref="G7:H8"/>
    <mergeCell ref="G9:G11"/>
    <mergeCell ref="L7:M8"/>
    <mergeCell ref="N7:N11"/>
  </mergeCells>
  <phoneticPr fontId="0" type="noConversion"/>
  <printOptions horizontalCentered="1"/>
  <pageMargins left="0.2" right="0.2" top="0.38" bottom="0.17" header="0.17" footer="0.17"/>
  <pageSetup paperSize="9" scale="4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CD133"/>
  <sheetViews>
    <sheetView showZeros="0" view="pageBreakPreview" zoomScale="50" zoomScaleNormal="65" zoomScaleSheetLayoutView="50" workbookViewId="0">
      <pane xSplit="2" ySplit="14" topLeftCell="BI127" activePane="bottomRight" state="frozen"/>
      <selection pane="topRight" activeCell="C1" sqref="C1"/>
      <selection pane="bottomLeft" activeCell="A15" sqref="A15"/>
      <selection pane="bottomRight" activeCell="BS1" sqref="BS1:CV65536"/>
    </sheetView>
  </sheetViews>
  <sheetFormatPr defaultRowHeight="23.25"/>
  <cols>
    <col min="1" max="1" width="19.140625" style="302" customWidth="1"/>
    <col min="2" max="2" width="52.28515625" style="302" customWidth="1"/>
    <col min="3" max="3" width="36.28515625" style="302" bestFit="1" customWidth="1"/>
    <col min="4" max="5" width="24.28515625" style="302" customWidth="1"/>
    <col min="6" max="6" width="51.28515625" style="302" customWidth="1"/>
    <col min="7" max="7" width="41.42578125" style="302" customWidth="1"/>
    <col min="8" max="8" width="59.7109375" style="302" customWidth="1"/>
    <col min="9" max="9" width="87.7109375" style="302" customWidth="1"/>
    <col min="10" max="10" width="78.7109375" style="302" customWidth="1"/>
    <col min="11" max="11" width="81.85546875" style="302" customWidth="1"/>
    <col min="12" max="12" width="55.28515625" style="302" customWidth="1"/>
    <col min="13" max="13" width="32.28515625" style="302" customWidth="1"/>
    <col min="14" max="15" width="38" style="302" customWidth="1"/>
    <col min="16" max="16" width="37" style="302" customWidth="1"/>
    <col min="17" max="19" width="38.42578125" style="302" customWidth="1"/>
    <col min="20" max="20" width="36.28515625" style="302" customWidth="1"/>
    <col min="21" max="21" width="35.85546875" style="302" hidden="1" customWidth="1"/>
    <col min="22" max="22" width="26.7109375" style="302" hidden="1" customWidth="1"/>
    <col min="23" max="24" width="38.5703125" style="302" customWidth="1"/>
    <col min="25" max="25" width="33.85546875" style="302" customWidth="1"/>
    <col min="26" max="26" width="29.28515625" style="302" customWidth="1"/>
    <col min="27" max="27" width="39.7109375" style="302" customWidth="1"/>
    <col min="28" max="28" width="27.28515625" style="302" customWidth="1"/>
    <col min="29" max="29" width="25.7109375" style="302" customWidth="1"/>
    <col min="30" max="30" width="43.42578125" style="302" customWidth="1"/>
    <col min="31" max="31" width="19.42578125" style="302" customWidth="1"/>
    <col min="32" max="32" width="19" style="302" customWidth="1"/>
    <col min="33" max="33" width="17.7109375" style="302" customWidth="1"/>
    <col min="34" max="34" width="18.7109375" style="302" customWidth="1"/>
    <col min="35" max="35" width="43.42578125" style="464" hidden="1" customWidth="1"/>
    <col min="36" max="36" width="167.140625" style="302" hidden="1" customWidth="1"/>
    <col min="37" max="37" width="51" style="302" hidden="1" customWidth="1"/>
    <col min="38" max="38" width="31.42578125" style="302" customWidth="1"/>
    <col min="39" max="39" width="37.28515625" style="302" customWidth="1"/>
    <col min="40" max="40" width="21.42578125" style="302" customWidth="1"/>
    <col min="41" max="41" width="39" style="302" hidden="1" customWidth="1"/>
    <col min="42" max="42" width="31.85546875" style="302" customWidth="1"/>
    <col min="43" max="43" width="23.28515625" style="440" customWidth="1"/>
    <col min="44" max="44" width="19.5703125" style="440" customWidth="1"/>
    <col min="45" max="45" width="17.28515625" style="440" customWidth="1"/>
    <col min="46" max="46" width="24.7109375" style="302" customWidth="1"/>
    <col min="47" max="47" width="20.5703125" style="302" customWidth="1"/>
    <col min="48" max="48" width="20.28515625" style="302" customWidth="1"/>
    <col min="49" max="49" width="23.140625" style="302" customWidth="1"/>
    <col min="50" max="50" width="22.85546875" style="302" customWidth="1"/>
    <col min="51" max="51" width="60.42578125" style="302" customWidth="1"/>
    <col min="52" max="53" width="30" style="302" customWidth="1"/>
    <col min="54" max="55" width="32.42578125" style="302" customWidth="1"/>
    <col min="56" max="56" width="27.5703125" style="302" customWidth="1"/>
    <col min="57" max="57" width="39.7109375" style="302" customWidth="1"/>
    <col min="58" max="58" width="28.5703125" style="302" customWidth="1"/>
    <col min="59" max="59" width="22.140625" style="302" customWidth="1"/>
    <col min="60" max="60" width="22.42578125" style="440" customWidth="1"/>
    <col min="61" max="61" width="19" style="440" customWidth="1"/>
    <col min="62" max="62" width="18" style="440" customWidth="1"/>
    <col min="63" max="63" width="21.7109375" style="440" customWidth="1"/>
    <col min="64" max="64" width="24.42578125" style="440" customWidth="1"/>
    <col min="65" max="65" width="20.85546875" style="302" customWidth="1"/>
    <col min="66" max="66" width="26" style="463" customWidth="1"/>
    <col min="67" max="67" width="29.42578125" style="302" customWidth="1"/>
    <col min="68" max="68" width="37.7109375" style="302" customWidth="1"/>
    <col min="69" max="69" width="38" style="302" customWidth="1"/>
    <col min="70" max="70" width="77.7109375" style="302" customWidth="1"/>
    <col min="71" max="71" width="24" style="302" hidden="1" customWidth="1"/>
    <col min="72" max="72" width="20.28515625" style="678" hidden="1" customWidth="1"/>
    <col min="73" max="73" width="19.85546875" style="678" hidden="1" customWidth="1"/>
    <col min="74" max="74" width="20.5703125" style="302" hidden="1" customWidth="1"/>
    <col min="75" max="75" width="20.28515625" style="678" hidden="1" customWidth="1"/>
    <col min="76" max="76" width="21.28515625" style="678" hidden="1" customWidth="1"/>
    <col min="77" max="77" width="18.7109375" style="302" hidden="1" customWidth="1"/>
    <col min="78" max="78" width="9.140625" style="302" hidden="1" customWidth="1"/>
    <col min="79" max="79" width="19.85546875" style="678" hidden="1" customWidth="1"/>
    <col min="80" max="80" width="0" style="302" hidden="1" customWidth="1"/>
    <col min="81" max="81" width="28" style="302" hidden="1" customWidth="1"/>
    <col min="82" max="82" width="18.85546875" style="302" hidden="1" customWidth="1"/>
    <col min="83" max="100" width="0" style="302" hidden="1" customWidth="1"/>
    <col min="101" max="16384" width="9.140625" style="302"/>
  </cols>
  <sheetData>
    <row r="1" spans="1:82" ht="18.75" customHeight="1">
      <c r="B1" s="672"/>
      <c r="C1" s="672"/>
      <c r="D1" s="672"/>
      <c r="E1" s="672"/>
      <c r="G1" s="673" t="s">
        <v>385</v>
      </c>
      <c r="J1" s="674"/>
      <c r="K1" s="674"/>
      <c r="L1" s="674"/>
      <c r="M1" s="674"/>
      <c r="N1" s="674"/>
      <c r="O1" s="674"/>
      <c r="Q1" s="674"/>
      <c r="R1" s="674"/>
      <c r="S1" s="674"/>
      <c r="T1" s="674"/>
      <c r="U1" s="674"/>
      <c r="V1" s="674"/>
      <c r="AA1" s="674"/>
      <c r="AB1" s="674"/>
      <c r="AC1" s="674"/>
      <c r="AD1" s="674"/>
      <c r="AE1" s="674"/>
      <c r="AF1" s="674"/>
      <c r="AG1" s="674"/>
      <c r="AH1" s="674"/>
      <c r="AI1" s="675"/>
      <c r="AJ1" s="674"/>
      <c r="AK1" s="674"/>
      <c r="AL1" s="674"/>
      <c r="AM1" s="674"/>
      <c r="AO1" s="674"/>
      <c r="AP1" s="674"/>
      <c r="AQ1" s="676"/>
      <c r="AR1" s="676"/>
      <c r="AS1" s="676"/>
      <c r="AT1" s="674"/>
      <c r="AU1" s="674"/>
      <c r="AV1" s="674"/>
      <c r="AW1" s="674" t="s">
        <v>475</v>
      </c>
      <c r="AX1" s="674"/>
      <c r="AY1" s="674"/>
      <c r="AZ1" s="674"/>
      <c r="BA1" s="674"/>
      <c r="BB1" s="674"/>
      <c r="BC1" s="674"/>
      <c r="BD1" s="674"/>
      <c r="BE1" s="674"/>
      <c r="BF1" s="674"/>
      <c r="BG1" s="674"/>
      <c r="BH1" s="676"/>
      <c r="BI1" s="676"/>
      <c r="BJ1" s="676"/>
      <c r="BK1" s="676"/>
      <c r="BL1" s="676"/>
      <c r="BM1" s="674"/>
      <c r="BN1" s="677"/>
      <c r="BO1" s="674"/>
      <c r="BP1" s="674"/>
      <c r="BQ1" s="674"/>
      <c r="BR1" s="674"/>
    </row>
    <row r="2" spans="1:82" ht="17.100000000000001" customHeight="1">
      <c r="G2" s="673" t="s">
        <v>476</v>
      </c>
      <c r="J2" s="674"/>
      <c r="K2" s="674"/>
      <c r="L2" s="674"/>
      <c r="M2" s="674"/>
      <c r="N2" s="674"/>
      <c r="O2" s="674"/>
      <c r="Q2" s="674"/>
      <c r="R2" s="674"/>
      <c r="S2" s="674"/>
      <c r="T2" s="674"/>
      <c r="U2" s="674"/>
      <c r="V2" s="674"/>
      <c r="AA2" s="674"/>
      <c r="AB2" s="674"/>
      <c r="AC2" s="674"/>
      <c r="AD2" s="674"/>
      <c r="AE2" s="674"/>
      <c r="AF2" s="674"/>
      <c r="AG2" s="674"/>
      <c r="AH2" s="674"/>
      <c r="AI2" s="675"/>
      <c r="AJ2" s="674"/>
      <c r="AK2" s="674"/>
      <c r="AL2" s="674"/>
      <c r="AM2" s="674"/>
      <c r="AO2" s="674"/>
      <c r="AP2" s="674"/>
      <c r="AQ2" s="676"/>
      <c r="AR2" s="676"/>
      <c r="AS2" s="676"/>
      <c r="AT2" s="674"/>
      <c r="AU2" s="674"/>
      <c r="AV2" s="674"/>
      <c r="AW2" s="674"/>
      <c r="AX2" s="674"/>
      <c r="AY2" s="674"/>
      <c r="AZ2" s="674"/>
      <c r="BA2" s="674"/>
      <c r="BB2" s="674"/>
      <c r="BC2" s="674"/>
      <c r="BD2" s="674"/>
      <c r="BE2" s="674"/>
      <c r="BF2" s="674"/>
      <c r="BG2" s="674"/>
      <c r="BH2" s="676"/>
      <c r="BI2" s="676"/>
      <c r="BJ2" s="676"/>
      <c r="BK2" s="676"/>
      <c r="BL2" s="676"/>
      <c r="BM2" s="674"/>
      <c r="BN2" s="677"/>
      <c r="BO2" s="674"/>
      <c r="BP2" s="674"/>
      <c r="BQ2" s="674"/>
      <c r="BR2" s="674"/>
    </row>
    <row r="3" spans="1:82" ht="15" customHeight="1">
      <c r="G3" s="673" t="s">
        <v>3247</v>
      </c>
      <c r="J3" s="674"/>
      <c r="K3" s="674"/>
      <c r="L3" s="674"/>
      <c r="M3" s="674"/>
      <c r="N3" s="674"/>
      <c r="O3" s="674"/>
      <c r="Q3" s="674"/>
      <c r="R3" s="674"/>
      <c r="S3" s="674"/>
      <c r="T3" s="674"/>
      <c r="U3" s="674"/>
      <c r="V3" s="674"/>
      <c r="AA3" s="674"/>
      <c r="AB3" s="674"/>
      <c r="AC3" s="674"/>
      <c r="AD3" s="674"/>
      <c r="AE3" s="674"/>
      <c r="AF3" s="674"/>
      <c r="AG3" s="674"/>
      <c r="AH3" s="674"/>
      <c r="AI3" s="675"/>
      <c r="AJ3" s="674"/>
      <c r="AK3" s="674"/>
      <c r="AL3" s="674"/>
      <c r="AM3" s="674"/>
      <c r="AO3" s="674"/>
      <c r="AP3" s="674"/>
      <c r="AQ3" s="676"/>
      <c r="AR3" s="676"/>
      <c r="AS3" s="676"/>
      <c r="AT3" s="674"/>
      <c r="AU3" s="674"/>
      <c r="AV3" s="674"/>
      <c r="AW3" s="674"/>
      <c r="AX3" s="674"/>
      <c r="AY3" s="674"/>
      <c r="AZ3" s="674"/>
      <c r="BA3" s="674"/>
      <c r="BB3" s="674"/>
      <c r="BC3" s="674"/>
      <c r="BD3" s="674"/>
      <c r="BE3" s="674"/>
      <c r="BF3" s="674"/>
      <c r="BG3" s="674"/>
      <c r="BH3" s="676"/>
      <c r="BI3" s="676"/>
      <c r="BJ3" s="676"/>
      <c r="BK3" s="676"/>
      <c r="BL3" s="676"/>
      <c r="BM3" s="674"/>
      <c r="BN3" s="677"/>
      <c r="BO3" s="674"/>
      <c r="BP3" s="674"/>
      <c r="BQ3" s="674"/>
      <c r="BR3" s="674"/>
    </row>
    <row r="4" spans="1:82" ht="9.9499999999999993" customHeight="1">
      <c r="E4" s="679"/>
      <c r="F4" s="679"/>
      <c r="G4" s="680"/>
      <c r="H4" s="679"/>
      <c r="I4" s="679"/>
      <c r="J4" s="674"/>
      <c r="K4" s="674"/>
      <c r="L4" s="674"/>
      <c r="M4" s="674"/>
      <c r="N4" s="674"/>
      <c r="O4" s="674"/>
      <c r="P4" s="679"/>
      <c r="Q4" s="674"/>
      <c r="R4" s="674"/>
      <c r="S4" s="674"/>
      <c r="T4" s="674"/>
      <c r="U4" s="674"/>
      <c r="V4" s="674"/>
      <c r="W4" s="679"/>
      <c r="X4" s="679"/>
      <c r="Y4" s="679"/>
      <c r="Z4" s="679"/>
      <c r="AA4" s="674"/>
      <c r="AB4" s="674"/>
      <c r="AC4" s="674"/>
      <c r="AD4" s="674"/>
      <c r="AE4" s="674"/>
      <c r="AF4" s="674"/>
      <c r="AG4" s="674"/>
      <c r="AH4" s="674"/>
      <c r="AI4" s="675"/>
      <c r="AJ4" s="674"/>
      <c r="AK4" s="674"/>
      <c r="AL4" s="674"/>
      <c r="AM4" s="674"/>
      <c r="AN4" s="679"/>
      <c r="AO4" s="674"/>
      <c r="AP4" s="674"/>
      <c r="AQ4" s="676"/>
      <c r="AR4" s="676"/>
      <c r="AS4" s="676"/>
      <c r="AT4" s="674"/>
      <c r="AU4" s="674"/>
      <c r="AV4" s="674"/>
      <c r="AW4" s="674"/>
      <c r="AX4" s="674"/>
      <c r="AY4" s="674"/>
      <c r="AZ4" s="674"/>
      <c r="BA4" s="674"/>
      <c r="BB4" s="674"/>
      <c r="BC4" s="674"/>
      <c r="BD4" s="674"/>
      <c r="BE4" s="674"/>
      <c r="BF4" s="674"/>
      <c r="BG4" s="674"/>
      <c r="BH4" s="676"/>
      <c r="BI4" s="676"/>
      <c r="BJ4" s="676"/>
      <c r="BK4" s="676"/>
      <c r="BL4" s="676"/>
      <c r="BM4" s="674"/>
      <c r="BN4" s="677"/>
      <c r="BO4" s="674"/>
      <c r="BP4" s="674"/>
      <c r="BQ4" s="674"/>
      <c r="BR4" s="674"/>
    </row>
    <row r="5" spans="1:82" ht="18.600000000000001" customHeight="1">
      <c r="C5" s="681" t="s">
        <v>983</v>
      </c>
      <c r="G5" s="682"/>
      <c r="J5" s="674"/>
      <c r="L5" s="674"/>
      <c r="Q5" s="674"/>
      <c r="R5" s="674"/>
      <c r="S5" s="674"/>
      <c r="T5" s="674"/>
      <c r="U5" s="674"/>
      <c r="V5" s="674"/>
      <c r="AA5" s="674"/>
      <c r="AB5" s="674"/>
      <c r="AC5" s="674"/>
      <c r="AD5" s="674"/>
      <c r="AE5" s="674"/>
      <c r="AF5" s="674"/>
      <c r="AG5" s="674"/>
      <c r="AH5" s="674"/>
      <c r="AI5" s="675"/>
      <c r="AJ5" s="674"/>
      <c r="AK5" s="674"/>
      <c r="AL5" s="674"/>
      <c r="AM5" s="674"/>
      <c r="AN5" s="683"/>
      <c r="AO5" s="674"/>
      <c r="AQ5" s="676"/>
      <c r="AR5" s="676"/>
      <c r="AS5" s="676"/>
      <c r="AT5" s="674"/>
      <c r="AU5" s="674"/>
      <c r="AV5" s="674"/>
      <c r="AW5" s="674"/>
      <c r="AX5" s="674"/>
      <c r="AY5" s="674"/>
      <c r="BH5" s="676"/>
      <c r="BI5" s="676"/>
      <c r="BJ5" s="676"/>
      <c r="BK5" s="676"/>
      <c r="BL5" s="676"/>
      <c r="BM5" s="674"/>
      <c r="BN5" s="677"/>
      <c r="BO5" s="674"/>
      <c r="BP5" s="674"/>
      <c r="BQ5" s="674"/>
      <c r="BR5" s="674"/>
    </row>
    <row r="6" spans="1:82" ht="18.75" customHeight="1">
      <c r="B6" s="684"/>
      <c r="C6" s="682"/>
      <c r="D6" s="682"/>
      <c r="F6" s="684"/>
      <c r="G6" s="684" t="s">
        <v>383</v>
      </c>
      <c r="H6" s="684"/>
      <c r="I6" s="684"/>
      <c r="J6" s="684" t="s">
        <v>383</v>
      </c>
      <c r="N6" s="684" t="s">
        <v>383</v>
      </c>
      <c r="T6" s="684" t="s">
        <v>383</v>
      </c>
      <c r="U6" s="674"/>
      <c r="V6" s="302" t="s">
        <v>383</v>
      </c>
      <c r="X6" s="684"/>
      <c r="Y6" s="684"/>
      <c r="Z6" s="684"/>
      <c r="AC6" s="684" t="s">
        <v>383</v>
      </c>
      <c r="AO6" s="684"/>
      <c r="AP6" s="684" t="s">
        <v>383</v>
      </c>
      <c r="AS6" s="684"/>
      <c r="AT6" s="684"/>
      <c r="AY6" s="684" t="s">
        <v>383</v>
      </c>
      <c r="AZ6" s="684"/>
      <c r="BA6" s="684"/>
      <c r="BF6" s="684"/>
      <c r="BG6" s="684" t="s">
        <v>383</v>
      </c>
      <c r="BK6" s="684"/>
      <c r="BL6" s="684" t="s">
        <v>475</v>
      </c>
      <c r="BP6" s="445" t="s">
        <v>383</v>
      </c>
      <c r="BQ6" s="684"/>
      <c r="BR6" s="684" t="s">
        <v>383</v>
      </c>
    </row>
    <row r="7" spans="1:82">
      <c r="A7" s="1070" t="s">
        <v>384</v>
      </c>
      <c r="B7" s="1070" t="s">
        <v>86</v>
      </c>
      <c r="C7" s="1127" t="s">
        <v>35</v>
      </c>
      <c r="D7" s="1127"/>
      <c r="E7" s="1127"/>
      <c r="F7" s="685" t="s">
        <v>87</v>
      </c>
      <c r="G7" s="686"/>
      <c r="H7" s="687"/>
      <c r="I7" s="687"/>
      <c r="J7" s="686"/>
      <c r="K7" s="686"/>
      <c r="L7" s="686"/>
      <c r="M7" s="686"/>
      <c r="N7" s="686"/>
      <c r="O7" s="686"/>
      <c r="P7" s="686"/>
      <c r="Q7" s="686"/>
      <c r="R7" s="686"/>
      <c r="S7" s="686"/>
      <c r="T7" s="686"/>
      <c r="U7" s="686"/>
      <c r="V7" s="686"/>
      <c r="W7" s="686"/>
      <c r="X7" s="686"/>
      <c r="Y7" s="686"/>
      <c r="Z7" s="686"/>
      <c r="AA7" s="686"/>
      <c r="AB7" s="686"/>
      <c r="AC7" s="686"/>
      <c r="AD7" s="686"/>
      <c r="AE7" s="686"/>
      <c r="AF7" s="686"/>
      <c r="AG7" s="686"/>
      <c r="AH7" s="686"/>
      <c r="AI7" s="688"/>
      <c r="AJ7" s="686"/>
      <c r="AK7" s="686"/>
      <c r="AL7" s="686"/>
      <c r="AM7" s="686"/>
      <c r="AN7" s="686"/>
      <c r="AO7" s="686"/>
      <c r="AP7" s="686"/>
      <c r="AQ7" s="686"/>
      <c r="AR7" s="689"/>
      <c r="AS7" s="689"/>
      <c r="AT7" s="686"/>
      <c r="AU7" s="690"/>
      <c r="AV7" s="690"/>
      <c r="AW7" s="686"/>
      <c r="AX7" s="690"/>
      <c r="AY7" s="691"/>
      <c r="AZ7" s="686"/>
      <c r="BA7" s="686"/>
      <c r="BB7" s="686"/>
      <c r="BC7" s="686"/>
      <c r="BD7" s="686"/>
      <c r="BE7" s="686"/>
      <c r="BF7" s="686"/>
      <c r="BG7" s="686"/>
      <c r="BH7" s="689"/>
      <c r="BI7" s="692"/>
      <c r="BJ7" s="692"/>
      <c r="BK7" s="692"/>
      <c r="BL7" s="692"/>
      <c r="BM7" s="686"/>
      <c r="BN7" s="686"/>
      <c r="BO7" s="686"/>
      <c r="BP7" s="690"/>
      <c r="BQ7" s="693"/>
      <c r="BR7" s="1116"/>
    </row>
    <row r="8" spans="1:82" ht="20.25" hidden="1" customHeight="1">
      <c r="A8" s="1071"/>
      <c r="B8" s="1071"/>
      <c r="C8" s="450"/>
      <c r="D8" s="694"/>
      <c r="E8" s="694"/>
      <c r="F8" s="695"/>
      <c r="G8" s="696"/>
      <c r="H8" s="695"/>
      <c r="I8" s="697"/>
      <c r="J8" s="696"/>
      <c r="K8" s="696"/>
      <c r="L8" s="696"/>
      <c r="M8" s="698"/>
      <c r="N8" s="696"/>
      <c r="O8" s="696"/>
      <c r="P8" s="696"/>
      <c r="Q8" s="696"/>
      <c r="R8" s="696"/>
      <c r="S8" s="696"/>
      <c r="T8" s="696"/>
      <c r="U8" s="696"/>
      <c r="V8" s="699"/>
      <c r="W8" s="696"/>
      <c r="X8" s="696"/>
      <c r="Y8" s="696"/>
      <c r="Z8" s="696"/>
      <c r="AA8" s="696"/>
      <c r="AB8" s="696"/>
      <c r="AC8" s="696"/>
      <c r="AD8" s="696"/>
      <c r="AE8" s="696"/>
      <c r="AF8" s="696"/>
      <c r="AG8" s="696"/>
      <c r="AH8" s="696"/>
      <c r="AI8" s="700"/>
      <c r="AJ8" s="696"/>
      <c r="AK8" s="696"/>
      <c r="AL8" s="701"/>
      <c r="AM8" s="696"/>
      <c r="AN8" s="696"/>
      <c r="AP8" s="698"/>
      <c r="AQ8" s="702"/>
      <c r="AR8" s="703"/>
      <c r="AS8" s="703"/>
      <c r="AT8" s="702"/>
      <c r="AU8" s="690"/>
      <c r="AV8" s="704"/>
      <c r="AW8" s="696"/>
      <c r="AX8" s="690"/>
      <c r="AY8" s="705"/>
      <c r="AZ8" s="698"/>
      <c r="BA8" s="698"/>
      <c r="BB8" s="698"/>
      <c r="BC8" s="698"/>
      <c r="BD8" s="698"/>
      <c r="BE8" s="698"/>
      <c r="BF8" s="698"/>
      <c r="BG8" s="698"/>
      <c r="BH8" s="706"/>
      <c r="BI8" s="692"/>
      <c r="BJ8" s="707"/>
      <c r="BK8" s="707"/>
      <c r="BL8" s="707"/>
      <c r="BM8" s="663"/>
      <c r="BO8" s="663"/>
      <c r="BP8" s="690"/>
      <c r="BQ8" s="663"/>
      <c r="BR8" s="1117"/>
    </row>
    <row r="9" spans="1:82" ht="20.25" hidden="1" customHeight="1">
      <c r="A9" s="1071"/>
      <c r="B9" s="1071"/>
      <c r="C9" s="450"/>
      <c r="D9" s="708"/>
      <c r="E9" s="708"/>
      <c r="F9" s="709"/>
      <c r="G9" s="710"/>
      <c r="H9" s="709"/>
      <c r="I9" s="691"/>
      <c r="J9" s="710"/>
      <c r="K9" s="710"/>
      <c r="L9" s="710"/>
      <c r="M9" s="711"/>
      <c r="N9" s="710"/>
      <c r="O9" s="710"/>
      <c r="P9" s="710"/>
      <c r="Q9" s="710"/>
      <c r="R9" s="710"/>
      <c r="S9" s="710"/>
      <c r="T9" s="710"/>
      <c r="U9" s="710"/>
      <c r="V9" s="712"/>
      <c r="W9" s="710"/>
      <c r="X9" s="710"/>
      <c r="Y9" s="710"/>
      <c r="Z9" s="710"/>
      <c r="AA9" s="710"/>
      <c r="AB9" s="710"/>
      <c r="AC9" s="710"/>
      <c r="AD9" s="710"/>
      <c r="AE9" s="710"/>
      <c r="AF9" s="710"/>
      <c r="AG9" s="710"/>
      <c r="AH9" s="710"/>
      <c r="AI9" s="713"/>
      <c r="AJ9" s="710"/>
      <c r="AK9" s="710"/>
      <c r="AL9" s="714"/>
      <c r="AM9" s="710"/>
      <c r="AN9" s="710"/>
      <c r="AP9" s="711"/>
      <c r="AQ9" s="686"/>
      <c r="AR9" s="715"/>
      <c r="AS9" s="715"/>
      <c r="AT9" s="686"/>
      <c r="AU9" s="690"/>
      <c r="AV9" s="690"/>
      <c r="AW9" s="710"/>
      <c r="AX9" s="690"/>
      <c r="AY9" s="705"/>
      <c r="AZ9" s="711"/>
      <c r="BA9" s="711"/>
      <c r="BB9" s="711"/>
      <c r="BC9" s="711"/>
      <c r="BD9" s="711"/>
      <c r="BE9" s="711"/>
      <c r="BF9" s="711"/>
      <c r="BG9" s="711"/>
      <c r="BH9" s="716"/>
      <c r="BI9" s="692"/>
      <c r="BJ9" s="707"/>
      <c r="BK9" s="707"/>
      <c r="BL9" s="707"/>
      <c r="BM9" s="663"/>
      <c r="BO9" s="663"/>
      <c r="BP9" s="690"/>
      <c r="BQ9" s="663"/>
      <c r="BR9" s="1117"/>
    </row>
    <row r="10" spans="1:82" ht="20.25" hidden="1" customHeight="1">
      <c r="A10" s="1071"/>
      <c r="B10" s="1071"/>
      <c r="C10" s="450"/>
      <c r="D10" s="717"/>
      <c r="E10" s="717"/>
      <c r="F10" s="718"/>
      <c r="G10" s="719"/>
      <c r="H10" s="718"/>
      <c r="I10" s="720"/>
      <c r="J10" s="719"/>
      <c r="K10" s="719"/>
      <c r="L10" s="719"/>
      <c r="M10" s="721"/>
      <c r="N10" s="719"/>
      <c r="O10" s="719"/>
      <c r="P10" s="719"/>
      <c r="Q10" s="719"/>
      <c r="R10" s="719"/>
      <c r="S10" s="719"/>
      <c r="T10" s="719"/>
      <c r="U10" s="719"/>
      <c r="V10" s="722"/>
      <c r="W10" s="719"/>
      <c r="X10" s="719"/>
      <c r="Y10" s="719"/>
      <c r="Z10" s="719"/>
      <c r="AA10" s="719"/>
      <c r="AB10" s="719"/>
      <c r="AC10" s="719"/>
      <c r="AD10" s="719"/>
      <c r="AE10" s="719"/>
      <c r="AF10" s="719"/>
      <c r="AG10" s="719"/>
      <c r="AH10" s="719"/>
      <c r="AI10" s="723"/>
      <c r="AJ10" s="719"/>
      <c r="AK10" s="719"/>
      <c r="AL10" s="724"/>
      <c r="AM10" s="719"/>
      <c r="AN10" s="719"/>
      <c r="AP10" s="721"/>
      <c r="AQ10" s="725"/>
      <c r="AR10" s="726"/>
      <c r="AS10" s="726"/>
      <c r="AT10" s="725"/>
      <c r="AU10" s="727"/>
      <c r="AV10" s="727"/>
      <c r="AW10" s="719"/>
      <c r="AX10" s="727"/>
      <c r="AY10" s="705"/>
      <c r="AZ10" s="721"/>
      <c r="BA10" s="721"/>
      <c r="BB10" s="721"/>
      <c r="BC10" s="721"/>
      <c r="BD10" s="721"/>
      <c r="BE10" s="721"/>
      <c r="BF10" s="721"/>
      <c r="BG10" s="721"/>
      <c r="BH10" s="728"/>
      <c r="BI10" s="729"/>
      <c r="BJ10" s="707"/>
      <c r="BK10" s="707"/>
      <c r="BL10" s="707"/>
      <c r="BM10" s="663"/>
      <c r="BO10" s="663"/>
      <c r="BP10" s="727"/>
      <c r="BQ10" s="663"/>
      <c r="BR10" s="1117"/>
    </row>
    <row r="11" spans="1:82" ht="23.1" customHeight="1">
      <c r="A11" s="1071"/>
      <c r="B11" s="1071"/>
      <c r="C11" s="1124" t="s">
        <v>891</v>
      </c>
      <c r="D11" s="1070" t="s">
        <v>892</v>
      </c>
      <c r="E11" s="1128"/>
      <c r="F11" s="730" t="s">
        <v>804</v>
      </c>
      <c r="G11" s="727"/>
      <c r="H11" s="730" t="s">
        <v>804</v>
      </c>
      <c r="I11" s="727"/>
      <c r="J11" s="727"/>
      <c r="K11" s="730" t="s">
        <v>804</v>
      </c>
      <c r="M11" s="731"/>
      <c r="O11" s="730" t="s">
        <v>804</v>
      </c>
      <c r="P11" s="727"/>
      <c r="T11" s="727"/>
      <c r="U11" s="732"/>
      <c r="V11" s="733"/>
      <c r="W11" s="727" t="s">
        <v>804</v>
      </c>
      <c r="AC11" s="727"/>
      <c r="AD11" s="727" t="s">
        <v>804</v>
      </c>
      <c r="AE11" s="727"/>
      <c r="AF11" s="727"/>
      <c r="AH11" s="727"/>
      <c r="AI11" s="734"/>
      <c r="AJ11" s="727" t="s">
        <v>896</v>
      </c>
      <c r="AK11" s="720"/>
      <c r="AL11" s="727"/>
      <c r="AO11" s="720"/>
      <c r="AP11" s="720"/>
      <c r="AQ11" s="727" t="s">
        <v>804</v>
      </c>
      <c r="AR11" s="727"/>
      <c r="AS11" s="727"/>
      <c r="AU11" s="727"/>
      <c r="AV11" s="727"/>
      <c r="AW11" s="735"/>
      <c r="AX11" s="727" t="s">
        <v>958</v>
      </c>
      <c r="AY11" s="720"/>
      <c r="AZ11" s="727" t="s">
        <v>958</v>
      </c>
      <c r="BA11" s="731"/>
      <c r="BB11" s="720"/>
      <c r="BC11" s="720"/>
      <c r="BD11" s="720"/>
      <c r="BE11" s="727"/>
      <c r="BG11" s="727"/>
      <c r="BH11" s="727" t="s">
        <v>958</v>
      </c>
      <c r="BJ11" s="729"/>
      <c r="BK11" s="736"/>
      <c r="BL11" s="736"/>
      <c r="BM11" s="720"/>
      <c r="BQ11" s="834" t="s">
        <v>958</v>
      </c>
      <c r="BR11" s="1118"/>
    </row>
    <row r="12" spans="1:82" ht="18" customHeight="1">
      <c r="A12" s="1071"/>
      <c r="B12" s="1071"/>
      <c r="C12" s="1125"/>
      <c r="D12" s="1119" t="s">
        <v>893</v>
      </c>
      <c r="E12" s="1119" t="s">
        <v>894</v>
      </c>
      <c r="F12" s="1119" t="s">
        <v>769</v>
      </c>
      <c r="G12" s="1119" t="s">
        <v>766</v>
      </c>
      <c r="H12" s="1119" t="s">
        <v>763</v>
      </c>
      <c r="I12" s="1119" t="s">
        <v>2293</v>
      </c>
      <c r="J12" s="1119" t="s">
        <v>785</v>
      </c>
      <c r="K12" s="1124" t="s">
        <v>3135</v>
      </c>
      <c r="L12" s="1129" t="s">
        <v>775</v>
      </c>
      <c r="M12" s="1119" t="s">
        <v>1148</v>
      </c>
      <c r="N12" s="1130" t="s">
        <v>1151</v>
      </c>
      <c r="O12" s="1130"/>
      <c r="P12" s="1119" t="s">
        <v>1688</v>
      </c>
      <c r="Q12" s="1119" t="s">
        <v>3113</v>
      </c>
      <c r="R12" s="737" t="s">
        <v>346</v>
      </c>
      <c r="S12" s="738"/>
      <c r="T12" s="1119" t="s">
        <v>594</v>
      </c>
      <c r="U12" s="1119" t="s">
        <v>396</v>
      </c>
      <c r="V12" s="1119" t="s">
        <v>187</v>
      </c>
      <c r="W12" s="1119" t="s">
        <v>3181</v>
      </c>
      <c r="X12" s="1132" t="s">
        <v>346</v>
      </c>
      <c r="Y12" s="1133"/>
      <c r="Z12" s="1134"/>
      <c r="AA12" s="1119" t="s">
        <v>1150</v>
      </c>
      <c r="AB12" s="1130" t="s">
        <v>892</v>
      </c>
      <c r="AC12" s="1130"/>
      <c r="AD12" s="1119" t="s">
        <v>1746</v>
      </c>
      <c r="AE12" s="1145" t="s">
        <v>892</v>
      </c>
      <c r="AF12" s="1146"/>
      <c r="AG12" s="1146"/>
      <c r="AH12" s="1147"/>
      <c r="AI12" s="739"/>
      <c r="AJ12" s="1119" t="s">
        <v>773</v>
      </c>
      <c r="AK12" s="1119" t="s">
        <v>788</v>
      </c>
      <c r="AL12" s="1119" t="s">
        <v>1671</v>
      </c>
      <c r="AM12" s="740" t="s">
        <v>1673</v>
      </c>
      <c r="AN12" s="1119" t="s">
        <v>511</v>
      </c>
      <c r="AO12" s="1119" t="s">
        <v>188</v>
      </c>
      <c r="AP12" s="1119" t="s">
        <v>905</v>
      </c>
      <c r="AQ12" s="1138" t="s">
        <v>1581</v>
      </c>
      <c r="AR12" s="741" t="s">
        <v>102</v>
      </c>
      <c r="AS12" s="742"/>
      <c r="AT12" s="742"/>
      <c r="AU12" s="742"/>
      <c r="AV12" s="742"/>
      <c r="AW12" s="743"/>
      <c r="AX12" s="1120" t="s">
        <v>511</v>
      </c>
      <c r="AY12" s="1120" t="s">
        <v>2538</v>
      </c>
      <c r="AZ12" s="1119" t="s">
        <v>1148</v>
      </c>
      <c r="BA12" s="1121" t="s">
        <v>346</v>
      </c>
      <c r="BB12" s="1122"/>
      <c r="BC12" s="1122"/>
      <c r="BD12" s="1123"/>
      <c r="BE12" s="1068" t="s">
        <v>1147</v>
      </c>
      <c r="BF12" s="1068" t="s">
        <v>1687</v>
      </c>
      <c r="BG12" s="1142" t="s">
        <v>1707</v>
      </c>
      <c r="BH12" s="1138" t="s">
        <v>1581</v>
      </c>
      <c r="BI12" s="1139" t="s">
        <v>462</v>
      </c>
      <c r="BJ12" s="1140"/>
      <c r="BK12" s="1140"/>
      <c r="BL12" s="1140"/>
      <c r="BM12" s="1140"/>
      <c r="BN12" s="1140"/>
      <c r="BO12" s="1140"/>
      <c r="BP12" s="1140"/>
      <c r="BQ12" s="1141"/>
      <c r="BR12" s="744"/>
      <c r="BS12" s="745"/>
      <c r="BT12" s="746"/>
      <c r="BU12" s="1135" t="s">
        <v>198</v>
      </c>
      <c r="BV12" s="746"/>
      <c r="BW12" s="746"/>
      <c r="BX12" s="1135" t="s">
        <v>199</v>
      </c>
      <c r="CA12" s="747"/>
    </row>
    <row r="13" spans="1:82" ht="37.15" customHeight="1">
      <c r="A13" s="1071"/>
      <c r="B13" s="1071"/>
      <c r="C13" s="1125"/>
      <c r="D13" s="1119"/>
      <c r="E13" s="1119"/>
      <c r="F13" s="1119"/>
      <c r="G13" s="1119"/>
      <c r="H13" s="1119"/>
      <c r="I13" s="1119"/>
      <c r="J13" s="1119"/>
      <c r="K13" s="1125"/>
      <c r="L13" s="1129"/>
      <c r="M13" s="1119"/>
      <c r="N13" s="1119" t="s">
        <v>1149</v>
      </c>
      <c r="O13" s="1119" t="s">
        <v>1154</v>
      </c>
      <c r="P13" s="1119"/>
      <c r="Q13" s="1119"/>
      <c r="R13" s="1124" t="s">
        <v>3114</v>
      </c>
      <c r="S13" s="1124" t="s">
        <v>3116</v>
      </c>
      <c r="T13" s="1119"/>
      <c r="U13" s="1119"/>
      <c r="V13" s="1119"/>
      <c r="W13" s="1119"/>
      <c r="X13" s="1124" t="s">
        <v>3183</v>
      </c>
      <c r="Y13" s="1124" t="s">
        <v>3246</v>
      </c>
      <c r="Z13" s="1124" t="s">
        <v>3182</v>
      </c>
      <c r="AA13" s="1119"/>
      <c r="AB13" s="1119" t="s">
        <v>1153</v>
      </c>
      <c r="AC13" s="1119" t="s">
        <v>1152</v>
      </c>
      <c r="AD13" s="1119"/>
      <c r="AE13" s="1119" t="s">
        <v>1750</v>
      </c>
      <c r="AF13" s="1119" t="s">
        <v>1749</v>
      </c>
      <c r="AG13" s="1119" t="s">
        <v>1748</v>
      </c>
      <c r="AH13" s="1119" t="s">
        <v>1747</v>
      </c>
      <c r="AI13" s="1131"/>
      <c r="AJ13" s="1119"/>
      <c r="AK13" s="1119"/>
      <c r="AL13" s="1119"/>
      <c r="AM13" s="1119" t="s">
        <v>1672</v>
      </c>
      <c r="AN13" s="1119"/>
      <c r="AO13" s="1119"/>
      <c r="AP13" s="1119"/>
      <c r="AQ13" s="1138"/>
      <c r="AR13" s="1120" t="s">
        <v>159</v>
      </c>
      <c r="AS13" s="1120" t="s">
        <v>402</v>
      </c>
      <c r="AT13" s="1119" t="s">
        <v>956</v>
      </c>
      <c r="AU13" s="1119" t="s">
        <v>957</v>
      </c>
      <c r="AV13" s="1119" t="s">
        <v>1619</v>
      </c>
      <c r="AW13" s="1119" t="s">
        <v>955</v>
      </c>
      <c r="AX13" s="1120"/>
      <c r="AY13" s="1120"/>
      <c r="AZ13" s="1119"/>
      <c r="BA13" s="1120" t="s">
        <v>3136</v>
      </c>
      <c r="BB13" s="1120" t="s">
        <v>2543</v>
      </c>
      <c r="BC13" s="1143" t="s">
        <v>2544</v>
      </c>
      <c r="BD13" s="1120" t="s">
        <v>2644</v>
      </c>
      <c r="BE13" s="1068"/>
      <c r="BF13" s="1068"/>
      <c r="BG13" s="1142"/>
      <c r="BH13" s="1138"/>
      <c r="BI13" s="1120" t="s">
        <v>183</v>
      </c>
      <c r="BJ13" s="1120" t="s">
        <v>402</v>
      </c>
      <c r="BK13" s="1119" t="s">
        <v>950</v>
      </c>
      <c r="BL13" s="1119" t="s">
        <v>1044</v>
      </c>
      <c r="BM13" s="1119" t="s">
        <v>964</v>
      </c>
      <c r="BN13" s="1119" t="s">
        <v>965</v>
      </c>
      <c r="BO13" s="1119" t="s">
        <v>1045</v>
      </c>
      <c r="BP13" s="748" t="s">
        <v>301</v>
      </c>
      <c r="BQ13" s="749"/>
      <c r="BR13" s="750" t="s">
        <v>83</v>
      </c>
      <c r="BS13" s="705"/>
      <c r="BT13" s="751"/>
      <c r="BU13" s="1136"/>
      <c r="BV13" s="751"/>
      <c r="BW13" s="751"/>
      <c r="BX13" s="1136"/>
      <c r="CA13" s="752"/>
    </row>
    <row r="14" spans="1:82" ht="246" customHeight="1">
      <c r="A14" s="1073"/>
      <c r="B14" s="1073"/>
      <c r="C14" s="1126"/>
      <c r="D14" s="1119"/>
      <c r="E14" s="1119"/>
      <c r="F14" s="1119"/>
      <c r="G14" s="1119"/>
      <c r="H14" s="1119"/>
      <c r="I14" s="1119"/>
      <c r="J14" s="1119"/>
      <c r="K14" s="1126"/>
      <c r="L14" s="1129"/>
      <c r="M14" s="1119"/>
      <c r="N14" s="1119"/>
      <c r="O14" s="1119"/>
      <c r="P14" s="1119"/>
      <c r="Q14" s="1119"/>
      <c r="R14" s="1126"/>
      <c r="S14" s="1126"/>
      <c r="T14" s="1119"/>
      <c r="U14" s="1119"/>
      <c r="V14" s="1119"/>
      <c r="W14" s="1119"/>
      <c r="X14" s="1126"/>
      <c r="Y14" s="1126"/>
      <c r="Z14" s="1126"/>
      <c r="AA14" s="1119"/>
      <c r="AB14" s="1119"/>
      <c r="AC14" s="1119"/>
      <c r="AD14" s="1119"/>
      <c r="AE14" s="1119"/>
      <c r="AF14" s="1119"/>
      <c r="AG14" s="1119"/>
      <c r="AH14" s="1119"/>
      <c r="AI14" s="1131"/>
      <c r="AJ14" s="1119"/>
      <c r="AK14" s="1119"/>
      <c r="AL14" s="1119"/>
      <c r="AM14" s="1119"/>
      <c r="AN14" s="1119"/>
      <c r="AO14" s="1119"/>
      <c r="AP14" s="1119"/>
      <c r="AQ14" s="1138"/>
      <c r="AR14" s="1120"/>
      <c r="AS14" s="1120"/>
      <c r="AT14" s="1119"/>
      <c r="AU14" s="1119"/>
      <c r="AV14" s="1119"/>
      <c r="AW14" s="1119"/>
      <c r="AX14" s="1120"/>
      <c r="AY14" s="1120"/>
      <c r="AZ14" s="1119"/>
      <c r="BA14" s="1120"/>
      <c r="BB14" s="1120"/>
      <c r="BC14" s="1144"/>
      <c r="BD14" s="1120"/>
      <c r="BE14" s="1068"/>
      <c r="BF14" s="1068"/>
      <c r="BG14" s="1142"/>
      <c r="BH14" s="1138"/>
      <c r="BI14" s="1120"/>
      <c r="BJ14" s="1120"/>
      <c r="BK14" s="1119"/>
      <c r="BL14" s="1119"/>
      <c r="BM14" s="1119"/>
      <c r="BN14" s="1119"/>
      <c r="BO14" s="1119"/>
      <c r="BP14" s="753" t="s">
        <v>148</v>
      </c>
      <c r="BQ14" s="754" t="s">
        <v>149</v>
      </c>
      <c r="BR14" s="301"/>
      <c r="BS14" s="303" t="s">
        <v>3189</v>
      </c>
      <c r="BT14" s="304" t="s">
        <v>122</v>
      </c>
      <c r="BU14" s="1137"/>
      <c r="BV14" s="304" t="s">
        <v>3190</v>
      </c>
      <c r="BW14" s="304" t="s">
        <v>122</v>
      </c>
      <c r="BX14" s="1137"/>
      <c r="CA14" s="306" t="s">
        <v>151</v>
      </c>
      <c r="CC14" s="307" t="s">
        <v>492</v>
      </c>
    </row>
    <row r="15" spans="1:82" ht="72" hidden="1" customHeight="1">
      <c r="A15" s="472"/>
      <c r="B15" s="472"/>
      <c r="C15" s="293" t="s">
        <v>1071</v>
      </c>
      <c r="D15" s="293"/>
      <c r="E15" s="293"/>
      <c r="F15" s="293" t="s">
        <v>1071</v>
      </c>
      <c r="G15" s="293" t="s">
        <v>1071</v>
      </c>
      <c r="H15" s="293" t="s">
        <v>1071</v>
      </c>
      <c r="I15" s="293"/>
      <c r="J15" s="293"/>
      <c r="K15" s="293"/>
      <c r="L15" s="293" t="s">
        <v>1071</v>
      </c>
      <c r="M15" s="293"/>
      <c r="N15" s="293"/>
      <c r="O15" s="293"/>
      <c r="P15" s="293"/>
      <c r="Q15" s="293" t="s">
        <v>1070</v>
      </c>
      <c r="R15" s="293"/>
      <c r="S15" s="293"/>
      <c r="T15" s="293" t="s">
        <v>1070</v>
      </c>
      <c r="U15" s="293"/>
      <c r="V15" s="293"/>
      <c r="W15" s="294" t="s">
        <v>1072</v>
      </c>
      <c r="X15" s="294"/>
      <c r="Y15" s="294"/>
      <c r="Z15" s="294"/>
      <c r="AA15" s="294" t="s">
        <v>1072</v>
      </c>
      <c r="AB15" s="294"/>
      <c r="AC15" s="294"/>
      <c r="AD15" s="294"/>
      <c r="AE15" s="294"/>
      <c r="AF15" s="294"/>
      <c r="AG15" s="294"/>
      <c r="AH15" s="294"/>
      <c r="AI15" s="353"/>
      <c r="AJ15" s="294"/>
      <c r="AK15" s="294"/>
      <c r="AL15" s="293" t="s">
        <v>1071</v>
      </c>
      <c r="AM15" s="295"/>
      <c r="AN15" s="294"/>
      <c r="AO15" s="294"/>
      <c r="AP15" s="296" t="s">
        <v>1068</v>
      </c>
      <c r="AQ15" s="297"/>
      <c r="AR15" s="298" t="s">
        <v>1073</v>
      </c>
      <c r="AS15" s="293" t="s">
        <v>1071</v>
      </c>
      <c r="AT15" s="293" t="s">
        <v>1069</v>
      </c>
      <c r="AU15" s="293" t="s">
        <v>1071</v>
      </c>
      <c r="AV15" s="293" t="s">
        <v>1071</v>
      </c>
      <c r="AW15" s="293" t="s">
        <v>1071</v>
      </c>
      <c r="AX15" s="296"/>
      <c r="AY15" s="294"/>
      <c r="AZ15" s="296"/>
      <c r="BA15" s="296"/>
      <c r="BB15" s="299"/>
      <c r="BC15" s="299"/>
      <c r="BD15" s="299"/>
      <c r="BE15" s="299"/>
      <c r="BF15" s="293" t="s">
        <v>1071</v>
      </c>
      <c r="BG15" s="293"/>
      <c r="BH15" s="297"/>
      <c r="BI15" s="298" t="s">
        <v>1073</v>
      </c>
      <c r="BJ15" s="293" t="s">
        <v>1071</v>
      </c>
      <c r="BK15" s="294" t="s">
        <v>1072</v>
      </c>
      <c r="BL15" s="298" t="s">
        <v>1073</v>
      </c>
      <c r="BM15" s="298" t="s">
        <v>1073</v>
      </c>
      <c r="BN15" s="396" t="s">
        <v>1073</v>
      </c>
      <c r="BO15" s="296" t="s">
        <v>1068</v>
      </c>
      <c r="BP15" s="300"/>
      <c r="BQ15" s="300"/>
      <c r="BR15" s="301"/>
      <c r="BS15" s="303"/>
      <c r="BT15" s="304"/>
      <c r="BU15" s="305"/>
      <c r="BV15" s="304"/>
      <c r="BW15" s="304"/>
      <c r="BX15" s="305"/>
      <c r="CA15" s="306"/>
      <c r="CC15" s="307"/>
    </row>
    <row r="16" spans="1:82" ht="24.75" customHeight="1">
      <c r="A16" s="755" t="s">
        <v>817</v>
      </c>
      <c r="B16" s="756" t="s">
        <v>56</v>
      </c>
      <c r="C16" s="827">
        <v>57924900</v>
      </c>
      <c r="D16" s="827">
        <f>44602200-12751000</f>
        <v>31851200</v>
      </c>
      <c r="E16" s="827">
        <f>13322700+12751000</f>
        <v>26073700</v>
      </c>
      <c r="F16" s="827">
        <f>587232200-8291000-55464100</f>
        <v>523477100</v>
      </c>
      <c r="G16" s="827">
        <f>213300-16000</f>
        <v>197300</v>
      </c>
      <c r="H16" s="827">
        <f>343592900-3437600+1909800-100000-44533900-1337900</f>
        <v>296093300</v>
      </c>
      <c r="I16" s="827"/>
      <c r="J16" s="827">
        <f>11171316.59+1292559.66+4120529</f>
        <v>16584405.25</v>
      </c>
      <c r="K16" s="827">
        <f>20116881-556482+368500</f>
        <v>19928899</v>
      </c>
      <c r="L16" s="827">
        <f>3538400+100000-30000</f>
        <v>3608400</v>
      </c>
      <c r="M16" s="827">
        <f>SUM(N16:O16)</f>
        <v>517450</v>
      </c>
      <c r="N16" s="827">
        <v>417450</v>
      </c>
      <c r="O16" s="827">
        <v>100000</v>
      </c>
      <c r="P16" s="827">
        <v>1334865.52</v>
      </c>
      <c r="Q16" s="827">
        <f>8315900-50000+13553400+2368300</f>
        <v>24187600</v>
      </c>
      <c r="R16" s="827">
        <f>8315900-50000</f>
        <v>8265900</v>
      </c>
      <c r="S16" s="827">
        <v>255000</v>
      </c>
      <c r="T16" s="827">
        <f>7902000-500000-1000000+150000</f>
        <v>6552000</v>
      </c>
      <c r="U16" s="827"/>
      <c r="V16" s="827"/>
      <c r="W16" s="827">
        <f>SUM(X16:Z16)</f>
        <v>2711000</v>
      </c>
      <c r="X16" s="827"/>
      <c r="Y16" s="827">
        <v>2711000</v>
      </c>
      <c r="Z16" s="827"/>
      <c r="AA16" s="827">
        <f>SUM(AB16:AC16)</f>
        <v>2199250</v>
      </c>
      <c r="AB16" s="827">
        <f>2515700+1200-657700</f>
        <v>1859200</v>
      </c>
      <c r="AC16" s="827">
        <v>340050</v>
      </c>
      <c r="AD16" s="827">
        <f>SUM(AE16:AH16)</f>
        <v>5843840</v>
      </c>
      <c r="AE16" s="827"/>
      <c r="AF16" s="827">
        <v>1996700</v>
      </c>
      <c r="AG16" s="827">
        <v>3472900</v>
      </c>
      <c r="AH16" s="827">
        <v>374240</v>
      </c>
      <c r="AI16" s="978">
        <f>SUM(AF16:AH16)</f>
        <v>5843840</v>
      </c>
      <c r="AJ16" s="827"/>
      <c r="AK16" s="827"/>
      <c r="AL16" s="827"/>
      <c r="AM16" s="827"/>
      <c r="AN16" s="827"/>
      <c r="AO16" s="827"/>
      <c r="AP16" s="827">
        <f>948036+473506.5+498616</f>
        <v>1920158.5</v>
      </c>
      <c r="AQ16" s="830">
        <f>SUM(AR16:AW16)</f>
        <v>4542407</v>
      </c>
      <c r="AR16" s="830">
        <f>137900+120000+25000+20000+10000+10000+30000+39000+30000+46000+254383+34000+301400+462000+24524</f>
        <v>1544207</v>
      </c>
      <c r="AS16" s="827">
        <f>50000+40000+430000+14400+262000</f>
        <v>796400</v>
      </c>
      <c r="AT16" s="830">
        <v>501800</v>
      </c>
      <c r="AU16" s="830"/>
      <c r="AV16" s="830">
        <v>1700000</v>
      </c>
      <c r="AW16" s="827"/>
      <c r="AX16" s="827"/>
      <c r="AY16" s="827">
        <v>4168600</v>
      </c>
      <c r="AZ16" s="827">
        <f>SUM(BA16:BD16)</f>
        <v>0</v>
      </c>
      <c r="BA16" s="827"/>
      <c r="BB16" s="827"/>
      <c r="BC16" s="827"/>
      <c r="BD16" s="827"/>
      <c r="BE16" s="827"/>
      <c r="BF16" s="827">
        <v>1000000</v>
      </c>
      <c r="BG16" s="827">
        <v>1500000</v>
      </c>
      <c r="BH16" s="830">
        <f>SUM(BI16:BO16)</f>
        <v>1533346</v>
      </c>
      <c r="BI16" s="830">
        <f>107400+45000+100000+246000+7000+39000+801505+20000+313441-462000</f>
        <v>1217346</v>
      </c>
      <c r="BJ16" s="830">
        <f>100000+61000+155000</f>
        <v>316000</v>
      </c>
      <c r="BK16" s="830"/>
      <c r="BL16" s="830"/>
      <c r="BM16" s="827"/>
      <c r="BN16" s="828">
        <f>350000+1000000-350000-1000000</f>
        <v>0</v>
      </c>
      <c r="BO16" s="827">
        <f t="shared" ref="BO16:BO79" si="0">BP16+BQ16</f>
        <v>0</v>
      </c>
      <c r="BP16" s="827"/>
      <c r="BQ16" s="827"/>
      <c r="BR16" s="827">
        <f>C16+F16+G16+H16+J16+L16+M16+P16+Q16+T16+U16+V16+W16+AA16+AJ16+AK16+AL16+AN16+AO16+AQ16+AX16+AY16+AZ16+BH16+BF16+AP16+BE16+AD16+BG16+K16+I16</f>
        <v>975824821.26999998</v>
      </c>
      <c r="BS16" s="758" t="e">
        <f>#REF!</f>
        <v>#REF!</v>
      </c>
      <c r="BT16" s="759" t="e">
        <f t="shared" ref="BT16:BT47" si="1">BS16-AQ16</f>
        <v>#REF!</v>
      </c>
      <c r="BU16" s="759">
        <f>AQ16-дод5.1!D191</f>
        <v>0</v>
      </c>
      <c r="BV16" s="758" t="e">
        <f>#REF!</f>
        <v>#REF!</v>
      </c>
      <c r="BW16" s="759" t="e">
        <f t="shared" ref="BW16:BW47" si="2">BV16-BH16</f>
        <v>#REF!</v>
      </c>
      <c r="BX16" s="760">
        <f>BH16-дод5.1!E191</f>
        <v>0</v>
      </c>
      <c r="BY16" s="501">
        <f>BX16+BU16</f>
        <v>0</v>
      </c>
      <c r="CA16" s="759" t="b">
        <f t="shared" ref="CA16:CA47" si="3">BQ16+BP16=BO16</f>
        <v>1</v>
      </c>
      <c r="CC16" s="761">
        <f t="shared" ref="CC16:CC47" si="4">BH16+AQ16</f>
        <v>6075753</v>
      </c>
      <c r="CD16" s="501" t="e">
        <f>CC16-BS16-BV16</f>
        <v>#REF!</v>
      </c>
    </row>
    <row r="17" spans="1:82" ht="24.75" customHeight="1">
      <c r="A17" s="755" t="s">
        <v>818</v>
      </c>
      <c r="B17" s="756" t="s">
        <v>60</v>
      </c>
      <c r="C17" s="827">
        <v>21749300</v>
      </c>
      <c r="D17" s="827">
        <v>16747000</v>
      </c>
      <c r="E17" s="827">
        <v>5002300</v>
      </c>
      <c r="F17" s="827">
        <f>267257200+3813900</f>
        <v>271071100</v>
      </c>
      <c r="G17" s="827">
        <f>62500+11900</f>
        <v>74400</v>
      </c>
      <c r="H17" s="827">
        <f>120158400-1833800-129900-15576900-459100</f>
        <v>102158700</v>
      </c>
      <c r="I17" s="827"/>
      <c r="J17" s="827">
        <f>3688747.29+1748442.94+6929342</f>
        <v>12366532.23</v>
      </c>
      <c r="K17" s="827">
        <f>2018714-7090</f>
        <v>2011624</v>
      </c>
      <c r="L17" s="827">
        <f>825300-70000-30000</f>
        <v>725300</v>
      </c>
      <c r="M17" s="827">
        <f t="shared" ref="M17:M80" si="5">SUM(N17:O17)</f>
        <v>63140</v>
      </c>
      <c r="N17" s="827">
        <v>63140</v>
      </c>
      <c r="O17" s="827"/>
      <c r="P17" s="827">
        <v>232949</v>
      </c>
      <c r="Q17" s="827">
        <f>1492800+7138100+1183500</f>
        <v>9814400</v>
      </c>
      <c r="R17" s="827">
        <f>1492800+415000</f>
        <v>1907800</v>
      </c>
      <c r="S17" s="827">
        <v>57500</v>
      </c>
      <c r="T17" s="827">
        <f>2480700+100000+120000+330000-50000</f>
        <v>2980700</v>
      </c>
      <c r="U17" s="827"/>
      <c r="V17" s="827"/>
      <c r="W17" s="827">
        <f t="shared" ref="W17:W80" si="6">SUM(X17:Z17)</f>
        <v>0</v>
      </c>
      <c r="X17" s="827"/>
      <c r="Y17" s="827"/>
      <c r="Z17" s="827"/>
      <c r="AA17" s="827">
        <f t="shared" ref="AA17:AA80" si="7">SUM(AB17:AC17)</f>
        <v>653650</v>
      </c>
      <c r="AB17" s="827">
        <f>1078200-37900-500000</f>
        <v>540300</v>
      </c>
      <c r="AC17" s="827">
        <v>113350</v>
      </c>
      <c r="AD17" s="827">
        <f t="shared" ref="AD17:AD80" si="8">SUM(AE17:AH17)</f>
        <v>1767600</v>
      </c>
      <c r="AE17" s="827"/>
      <c r="AF17" s="827">
        <v>625400</v>
      </c>
      <c r="AG17" s="827">
        <v>992900</v>
      </c>
      <c r="AH17" s="827">
        <v>149300</v>
      </c>
      <c r="AI17" s="978">
        <f>SUM(AF17:AH17)</f>
        <v>1767600</v>
      </c>
      <c r="AJ17" s="827"/>
      <c r="AK17" s="827"/>
      <c r="AL17" s="827"/>
      <c r="AM17" s="827"/>
      <c r="AN17" s="827"/>
      <c r="AO17" s="827"/>
      <c r="AP17" s="827"/>
      <c r="AQ17" s="830">
        <f t="shared" ref="AQ17:AQ80" si="9">SUM(AR17:AW17)</f>
        <v>764509</v>
      </c>
      <c r="AR17" s="830">
        <f>52681+57500+49498+12000+129850+152000+86980+33000</f>
        <v>573509</v>
      </c>
      <c r="AS17" s="827">
        <f>49900+50000</f>
        <v>99900</v>
      </c>
      <c r="AT17" s="830">
        <v>91100</v>
      </c>
      <c r="AU17" s="830"/>
      <c r="AV17" s="830"/>
      <c r="AW17" s="827"/>
      <c r="AX17" s="827"/>
      <c r="AY17" s="827"/>
      <c r="AZ17" s="827">
        <f t="shared" ref="AZ17:AZ80" si="10">SUM(BA17:BD17)</f>
        <v>74000</v>
      </c>
      <c r="BA17" s="827"/>
      <c r="BB17" s="827">
        <v>74000</v>
      </c>
      <c r="BC17" s="827"/>
      <c r="BD17" s="827"/>
      <c r="BE17" s="827"/>
      <c r="BF17" s="827"/>
      <c r="BG17" s="827"/>
      <c r="BH17" s="830">
        <f>SUM(BI17:BO17)</f>
        <v>2697324</v>
      </c>
      <c r="BI17" s="830">
        <f>73239+76300+40000+30000+126000+80000+12000+65000+42000+206080-12000+676758+159363+455260+79324</f>
        <v>2109324</v>
      </c>
      <c r="BJ17" s="830">
        <f>115000+350000+123000</f>
        <v>588000</v>
      </c>
      <c r="BK17" s="830"/>
      <c r="BL17" s="830"/>
      <c r="BM17" s="827"/>
      <c r="BN17" s="828"/>
      <c r="BO17" s="827">
        <f t="shared" si="0"/>
        <v>0</v>
      </c>
      <c r="BP17" s="827"/>
      <c r="BQ17" s="827">
        <f>150000-150000</f>
        <v>0</v>
      </c>
      <c r="BR17" s="827">
        <f t="shared" ref="BR17:BR80" si="11">C17+F17+G17+H17+J17+L17+M17+P17+Q17+T17+U17+V17+W17+AA17+AJ17+AK17+AL17+AN17+AO17+AQ17+AX17+AY17+AZ17+BH17+BF17+AP17+BE17+AD17+BG17+K17+I17</f>
        <v>429205228.23000002</v>
      </c>
      <c r="BS17" s="758" t="e">
        <f>#REF!</f>
        <v>#REF!</v>
      </c>
      <c r="BT17" s="759" t="e">
        <f t="shared" si="1"/>
        <v>#REF!</v>
      </c>
      <c r="BU17" s="759">
        <f>AQ17-дод5.1!D318</f>
        <v>0</v>
      </c>
      <c r="BV17" s="758" t="e">
        <f>#REF!</f>
        <v>#REF!</v>
      </c>
      <c r="BW17" s="759" t="e">
        <f t="shared" si="2"/>
        <v>#REF!</v>
      </c>
      <c r="BX17" s="760">
        <f>BH17-дод5.1!E318</f>
        <v>0</v>
      </c>
      <c r="BY17" s="501">
        <f>BX17+BU17</f>
        <v>0</v>
      </c>
      <c r="CA17" s="760" t="b">
        <f t="shared" si="3"/>
        <v>1</v>
      </c>
      <c r="CC17" s="761">
        <f t="shared" si="4"/>
        <v>3461833</v>
      </c>
      <c r="CD17" s="501" t="e">
        <f t="shared" ref="CD17:CD80" si="12">CC17-BS17-BV17</f>
        <v>#REF!</v>
      </c>
    </row>
    <row r="18" spans="1:82" ht="24.95" customHeight="1">
      <c r="A18" s="755" t="s">
        <v>819</v>
      </c>
      <c r="B18" s="756" t="s">
        <v>59</v>
      </c>
      <c r="C18" s="827">
        <v>17195000</v>
      </c>
      <c r="D18" s="827">
        <v>13240100</v>
      </c>
      <c r="E18" s="827">
        <v>3954900</v>
      </c>
      <c r="F18" s="827">
        <f>196784400-22876800</f>
        <v>173907600</v>
      </c>
      <c r="G18" s="827">
        <f>844100-23000</f>
        <v>821100</v>
      </c>
      <c r="H18" s="827">
        <f>92385700+994300-316000-12414800-371200</f>
        <v>80278000</v>
      </c>
      <c r="I18" s="827"/>
      <c r="J18" s="827"/>
      <c r="K18" s="827"/>
      <c r="L18" s="827">
        <f>3618100+40000+320000-50000</f>
        <v>3928100</v>
      </c>
      <c r="M18" s="827">
        <f t="shared" si="5"/>
        <v>119270</v>
      </c>
      <c r="N18" s="827">
        <v>119270</v>
      </c>
      <c r="O18" s="827"/>
      <c r="P18" s="827">
        <v>266985</v>
      </c>
      <c r="Q18" s="827">
        <f>1570200+2594400+369500</f>
        <v>4534100</v>
      </c>
      <c r="R18" s="827">
        <f>1570200+250000</f>
        <v>1820200</v>
      </c>
      <c r="S18" s="827">
        <v>50100</v>
      </c>
      <c r="T18" s="827">
        <f>1343700+300000-100000+70000</f>
        <v>1613700</v>
      </c>
      <c r="U18" s="827"/>
      <c r="V18" s="827"/>
      <c r="W18" s="827">
        <f t="shared" si="6"/>
        <v>0</v>
      </c>
      <c r="X18" s="827"/>
      <c r="Y18" s="827"/>
      <c r="Z18" s="827"/>
      <c r="AA18" s="827">
        <f t="shared" si="7"/>
        <v>410150</v>
      </c>
      <c r="AB18" s="827">
        <f>539100-119600-122700</f>
        <v>296800</v>
      </c>
      <c r="AC18" s="827">
        <v>113350</v>
      </c>
      <c r="AD18" s="827">
        <f t="shared" si="8"/>
        <v>1473300</v>
      </c>
      <c r="AE18" s="827"/>
      <c r="AF18" s="827">
        <v>551300</v>
      </c>
      <c r="AG18" s="827">
        <v>783400</v>
      </c>
      <c r="AH18" s="827">
        <v>138600</v>
      </c>
      <c r="AI18" s="978">
        <f>SUM(AF18:AH18)</f>
        <v>1473300</v>
      </c>
      <c r="AJ18" s="827"/>
      <c r="AK18" s="827"/>
      <c r="AL18" s="827"/>
      <c r="AM18" s="827"/>
      <c r="AN18" s="827"/>
      <c r="AO18" s="827"/>
      <c r="AP18" s="827"/>
      <c r="AQ18" s="830">
        <f t="shared" si="9"/>
        <v>4704467</v>
      </c>
      <c r="AR18" s="830">
        <f>30000+33960+12900+30000+20007+159000+113160+100429+58000+110605+255665+50000+56441+49000</f>
        <v>1079167</v>
      </c>
      <c r="AS18" s="827"/>
      <c r="AT18" s="830">
        <v>3625300</v>
      </c>
      <c r="AU18" s="830"/>
      <c r="AV18" s="830"/>
      <c r="AW18" s="827"/>
      <c r="AX18" s="827"/>
      <c r="AY18" s="827">
        <v>1200000</v>
      </c>
      <c r="AZ18" s="827">
        <f t="shared" si="10"/>
        <v>0</v>
      </c>
      <c r="BA18" s="827"/>
      <c r="BB18" s="827"/>
      <c r="BC18" s="827"/>
      <c r="BD18" s="827"/>
      <c r="BE18" s="827"/>
      <c r="BF18" s="827"/>
      <c r="BG18" s="827"/>
      <c r="BH18" s="830">
        <f>SUM(BI18:BO18)</f>
        <v>1373285</v>
      </c>
      <c r="BI18" s="830">
        <f>158100+195000+28278+342500+100210+288200-50000-49000+10300</f>
        <v>1023588</v>
      </c>
      <c r="BJ18" s="830">
        <f>249697</f>
        <v>249697</v>
      </c>
      <c r="BK18" s="830"/>
      <c r="BL18" s="830"/>
      <c r="BM18" s="827"/>
      <c r="BN18" s="828"/>
      <c r="BO18" s="827">
        <v>100000</v>
      </c>
      <c r="BP18" s="827"/>
      <c r="BQ18" s="827">
        <v>100000</v>
      </c>
      <c r="BR18" s="827">
        <f t="shared" si="11"/>
        <v>291825057</v>
      </c>
      <c r="BS18" s="758" t="e">
        <f>#REF!</f>
        <v>#REF!</v>
      </c>
      <c r="BT18" s="759" t="e">
        <f t="shared" si="1"/>
        <v>#REF!</v>
      </c>
      <c r="BU18" s="759">
        <f>AQ18-дод5.1!D434</f>
        <v>0</v>
      </c>
      <c r="BV18" s="758" t="e">
        <f>#REF!</f>
        <v>#REF!</v>
      </c>
      <c r="BW18" s="759" t="e">
        <f t="shared" si="2"/>
        <v>#REF!</v>
      </c>
      <c r="BX18" s="760">
        <f>BH18-дод5.1!E434</f>
        <v>0</v>
      </c>
      <c r="BY18" s="501">
        <f>BX18+BU18</f>
        <v>0</v>
      </c>
      <c r="CA18" s="760" t="b">
        <f t="shared" si="3"/>
        <v>1</v>
      </c>
      <c r="CC18" s="761">
        <f t="shared" si="4"/>
        <v>6077752</v>
      </c>
      <c r="CD18" s="501" t="e">
        <f t="shared" si="12"/>
        <v>#REF!</v>
      </c>
    </row>
    <row r="19" spans="1:82">
      <c r="A19" s="755" t="s">
        <v>820</v>
      </c>
      <c r="B19" s="764" t="s">
        <v>58</v>
      </c>
      <c r="C19" s="827">
        <v>13862400</v>
      </c>
      <c r="D19" s="827">
        <f>10674000-150000</f>
        <v>10524000</v>
      </c>
      <c r="E19" s="827">
        <f>3188400+150000</f>
        <v>3338400</v>
      </c>
      <c r="F19" s="827">
        <f>168879600+4477100</f>
        <v>173356700</v>
      </c>
      <c r="G19" s="827">
        <f>1478400-31000</f>
        <v>1447400</v>
      </c>
      <c r="H19" s="827">
        <f>85634200-3970900+410200-10064000-321000</f>
        <v>71688500</v>
      </c>
      <c r="I19" s="827"/>
      <c r="J19" s="827">
        <f>619599.25+619972</f>
        <v>1239571.25</v>
      </c>
      <c r="K19" s="827"/>
      <c r="L19" s="827">
        <f>690100+70000-20000-20000</f>
        <v>720100</v>
      </c>
      <c r="M19" s="827">
        <f t="shared" si="5"/>
        <v>63140</v>
      </c>
      <c r="N19" s="827">
        <v>63140</v>
      </c>
      <c r="O19" s="827"/>
      <c r="P19" s="827">
        <v>139769</v>
      </c>
      <c r="Q19" s="827">
        <f>1292100+1784100+272400</f>
        <v>3348600</v>
      </c>
      <c r="R19" s="827">
        <f>1292100+240000</f>
        <v>1532100</v>
      </c>
      <c r="S19" s="827">
        <v>27400</v>
      </c>
      <c r="T19" s="827">
        <f>1189100+130000</f>
        <v>1319100</v>
      </c>
      <c r="U19" s="827"/>
      <c r="V19" s="827"/>
      <c r="W19" s="827">
        <f t="shared" si="6"/>
        <v>1708100</v>
      </c>
      <c r="X19" s="827"/>
      <c r="Y19" s="827">
        <f>708100+1000000</f>
        <v>1708100</v>
      </c>
      <c r="Z19" s="827"/>
      <c r="AA19" s="827">
        <f t="shared" si="7"/>
        <v>499950</v>
      </c>
      <c r="AB19" s="827">
        <f>539100-52500-100000</f>
        <v>386600</v>
      </c>
      <c r="AC19" s="827">
        <v>113350</v>
      </c>
      <c r="AD19" s="827">
        <f t="shared" si="8"/>
        <v>1413600</v>
      </c>
      <c r="AE19" s="827"/>
      <c r="AF19" s="827">
        <v>523500</v>
      </c>
      <c r="AG19" s="827">
        <v>772800</v>
      </c>
      <c r="AH19" s="827">
        <v>117300</v>
      </c>
      <c r="AI19" s="978">
        <f>SUM(AF19:AH19)</f>
        <v>1413600</v>
      </c>
      <c r="AJ19" s="827"/>
      <c r="AK19" s="827"/>
      <c r="AL19" s="827"/>
      <c r="AM19" s="827"/>
      <c r="AN19" s="827"/>
      <c r="AO19" s="827"/>
      <c r="AP19" s="827">
        <f>315600+314200</f>
        <v>629800</v>
      </c>
      <c r="AQ19" s="830">
        <f t="shared" si="9"/>
        <v>98100</v>
      </c>
      <c r="AR19" s="830">
        <f>20000</f>
        <v>20000</v>
      </c>
      <c r="AS19" s="827"/>
      <c r="AT19" s="830">
        <v>78100</v>
      </c>
      <c r="AU19" s="830"/>
      <c r="AV19" s="830"/>
      <c r="AW19" s="827"/>
      <c r="AX19" s="827"/>
      <c r="AY19" s="827">
        <v>119700</v>
      </c>
      <c r="AZ19" s="827">
        <f t="shared" si="10"/>
        <v>0</v>
      </c>
      <c r="BA19" s="827"/>
      <c r="BB19" s="827"/>
      <c r="BC19" s="827"/>
      <c r="BD19" s="827"/>
      <c r="BE19" s="827"/>
      <c r="BF19" s="827"/>
      <c r="BG19" s="827"/>
      <c r="BH19" s="830">
        <f>SUM(BI19:BO19)</f>
        <v>1389044</v>
      </c>
      <c r="BI19" s="830">
        <f>96278+246278+246278+356210+154000</f>
        <v>1099044</v>
      </c>
      <c r="BJ19" s="830">
        <v>140000</v>
      </c>
      <c r="BK19" s="830"/>
      <c r="BL19" s="830"/>
      <c r="BM19" s="827"/>
      <c r="BN19" s="828"/>
      <c r="BO19" s="827">
        <v>150000</v>
      </c>
      <c r="BP19" s="827"/>
      <c r="BQ19" s="827">
        <v>150000</v>
      </c>
      <c r="BR19" s="827">
        <f t="shared" si="11"/>
        <v>273043574.25</v>
      </c>
      <c r="BS19" s="758" t="e">
        <f>#REF!</f>
        <v>#REF!</v>
      </c>
      <c r="BT19" s="759" t="e">
        <f t="shared" si="1"/>
        <v>#REF!</v>
      </c>
      <c r="BU19" s="759">
        <f>AQ19-дод5.1!D474</f>
        <v>0</v>
      </c>
      <c r="BV19" s="758" t="e">
        <f>#REF!</f>
        <v>#REF!</v>
      </c>
      <c r="BW19" s="759" t="e">
        <f t="shared" si="2"/>
        <v>#REF!</v>
      </c>
      <c r="BX19" s="760">
        <f>BH19-дод5.1!E474</f>
        <v>0</v>
      </c>
      <c r="BY19" s="501">
        <f>BX19+BU19</f>
        <v>0</v>
      </c>
      <c r="CA19" s="760" t="b">
        <f t="shared" si="3"/>
        <v>1</v>
      </c>
      <c r="CC19" s="761">
        <f t="shared" si="4"/>
        <v>1487144</v>
      </c>
      <c r="CD19" s="501" t="e">
        <f t="shared" si="12"/>
        <v>#REF!</v>
      </c>
    </row>
    <row r="20" spans="1:82" ht="24.95" customHeight="1">
      <c r="A20" s="755" t="s">
        <v>821</v>
      </c>
      <c r="B20" s="756" t="s">
        <v>57</v>
      </c>
      <c r="C20" s="827">
        <v>7438200</v>
      </c>
      <c r="D20" s="827">
        <v>5727400</v>
      </c>
      <c r="E20" s="827">
        <v>1710800</v>
      </c>
      <c r="F20" s="827">
        <f>81524400-7888300</f>
        <v>73636100</v>
      </c>
      <c r="G20" s="827">
        <f>1221800-131000</f>
        <v>1090800</v>
      </c>
      <c r="H20" s="827">
        <f>34776200-769200+61700-4594000-135700</f>
        <v>29339000</v>
      </c>
      <c r="I20" s="827"/>
      <c r="J20" s="827"/>
      <c r="K20" s="827"/>
      <c r="L20" s="827">
        <f>440800-10000-20000</f>
        <v>410800</v>
      </c>
      <c r="M20" s="827">
        <f t="shared" si="5"/>
        <v>0</v>
      </c>
      <c r="N20" s="827"/>
      <c r="O20" s="827"/>
      <c r="P20" s="827">
        <v>46590</v>
      </c>
      <c r="Q20" s="827">
        <f>654800+4673600+227700</f>
        <v>5556100</v>
      </c>
      <c r="R20" s="827">
        <f>654800+195000</f>
        <v>849800</v>
      </c>
      <c r="S20" s="827">
        <v>14900</v>
      </c>
      <c r="T20" s="827">
        <f>842700+287100+270000-50000</f>
        <v>1349800</v>
      </c>
      <c r="U20" s="827"/>
      <c r="V20" s="827"/>
      <c r="W20" s="827">
        <f t="shared" si="6"/>
        <v>3298200</v>
      </c>
      <c r="X20" s="827"/>
      <c r="Y20" s="827">
        <f>2298200+1000000</f>
        <v>3298200</v>
      </c>
      <c r="Z20" s="827"/>
      <c r="AA20" s="827">
        <f t="shared" si="7"/>
        <v>365050</v>
      </c>
      <c r="AB20" s="827">
        <f>247000+4700</f>
        <v>251700</v>
      </c>
      <c r="AC20" s="827">
        <v>113350</v>
      </c>
      <c r="AD20" s="827">
        <f t="shared" si="8"/>
        <v>672090</v>
      </c>
      <c r="AE20" s="827">
        <v>1690</v>
      </c>
      <c r="AF20" s="827">
        <v>254800</v>
      </c>
      <c r="AG20" s="827">
        <v>351600</v>
      </c>
      <c r="AH20" s="827">
        <v>64000</v>
      </c>
      <c r="AI20" s="978">
        <f>SUM(AF20:AH20)</f>
        <v>670400</v>
      </c>
      <c r="AJ20" s="827"/>
      <c r="AK20" s="827"/>
      <c r="AL20" s="827"/>
      <c r="AM20" s="827"/>
      <c r="AN20" s="827"/>
      <c r="AO20" s="827"/>
      <c r="AP20" s="827"/>
      <c r="AQ20" s="830">
        <f t="shared" si="9"/>
        <v>987919</v>
      </c>
      <c r="AR20" s="830">
        <f>28000+2000+59878+6000+107300+101141</f>
        <v>304319</v>
      </c>
      <c r="AS20" s="827">
        <v>375000</v>
      </c>
      <c r="AT20" s="830">
        <v>308600</v>
      </c>
      <c r="AU20" s="830"/>
      <c r="AV20" s="830"/>
      <c r="AW20" s="827"/>
      <c r="AX20" s="827"/>
      <c r="AY20" s="827"/>
      <c r="AZ20" s="827">
        <f t="shared" si="10"/>
        <v>0</v>
      </c>
      <c r="BA20" s="827"/>
      <c r="BB20" s="827"/>
      <c r="BC20" s="827"/>
      <c r="BD20" s="827"/>
      <c r="BE20" s="827"/>
      <c r="BF20" s="827"/>
      <c r="BG20" s="827"/>
      <c r="BH20" s="830">
        <f>SUM(BI20:BO20)</f>
        <v>884806</v>
      </c>
      <c r="BI20" s="830">
        <f>12000+186400+34680+15000-6000+152700+90026</f>
        <v>484806</v>
      </c>
      <c r="BJ20" s="830">
        <f>150000+70000</f>
        <v>220000</v>
      </c>
      <c r="BK20" s="830">
        <v>180000</v>
      </c>
      <c r="BL20" s="830"/>
      <c r="BM20" s="827"/>
      <c r="BN20" s="828"/>
      <c r="BO20" s="827">
        <f t="shared" si="0"/>
        <v>0</v>
      </c>
      <c r="BP20" s="827"/>
      <c r="BQ20" s="827"/>
      <c r="BR20" s="827">
        <f t="shared" si="11"/>
        <v>125075455</v>
      </c>
      <c r="BS20" s="758" t="e">
        <f>#REF!</f>
        <v>#REF!</v>
      </c>
      <c r="BT20" s="759" t="e">
        <f t="shared" si="1"/>
        <v>#REF!</v>
      </c>
      <c r="BU20" s="759">
        <f>AQ20-дод5.1!D562</f>
        <v>0</v>
      </c>
      <c r="BV20" s="758" t="e">
        <f>#REF!</f>
        <v>#REF!</v>
      </c>
      <c r="BW20" s="759" t="e">
        <f t="shared" si="2"/>
        <v>#REF!</v>
      </c>
      <c r="BX20" s="760">
        <f>BH20-дод5.1!E562</f>
        <v>0</v>
      </c>
      <c r="BY20" s="501">
        <f>BX20+BU20</f>
        <v>0</v>
      </c>
      <c r="CA20" s="760" t="b">
        <f t="shared" si="3"/>
        <v>1</v>
      </c>
      <c r="CC20" s="761">
        <f t="shared" si="4"/>
        <v>1872725</v>
      </c>
      <c r="CD20" s="501" t="e">
        <f t="shared" si="12"/>
        <v>#REF!</v>
      </c>
    </row>
    <row r="21" spans="1:82" s="463" customFormat="1" ht="18" customHeight="1">
      <c r="A21" s="765"/>
      <c r="B21" s="766" t="s">
        <v>179</v>
      </c>
      <c r="C21" s="828">
        <f t="shared" ref="C21:K21" si="13">SUM(C16:C20)</f>
        <v>118169800</v>
      </c>
      <c r="D21" s="828">
        <f t="shared" si="13"/>
        <v>78089700</v>
      </c>
      <c r="E21" s="828">
        <f t="shared" si="13"/>
        <v>40080100</v>
      </c>
      <c r="F21" s="828">
        <f t="shared" si="13"/>
        <v>1215448600</v>
      </c>
      <c r="G21" s="828">
        <f t="shared" si="13"/>
        <v>3631000</v>
      </c>
      <c r="H21" s="828">
        <f t="shared" si="13"/>
        <v>579557500</v>
      </c>
      <c r="I21" s="828">
        <f t="shared" si="13"/>
        <v>0</v>
      </c>
      <c r="J21" s="828">
        <f t="shared" si="13"/>
        <v>30190508.73</v>
      </c>
      <c r="K21" s="828">
        <f t="shared" si="13"/>
        <v>21940523</v>
      </c>
      <c r="L21" s="828">
        <f t="shared" ref="L21:Z21" si="14">SUM(L16:L20)</f>
        <v>9392700</v>
      </c>
      <c r="M21" s="828">
        <f t="shared" si="14"/>
        <v>763000</v>
      </c>
      <c r="N21" s="828">
        <f t="shared" si="14"/>
        <v>663000</v>
      </c>
      <c r="O21" s="828">
        <f t="shared" si="14"/>
        <v>100000</v>
      </c>
      <c r="P21" s="828">
        <f t="shared" si="14"/>
        <v>2021158.52</v>
      </c>
      <c r="Q21" s="828">
        <f t="shared" si="14"/>
        <v>47440800</v>
      </c>
      <c r="R21" s="828">
        <f>SUM(R16:R20)</f>
        <v>14375800</v>
      </c>
      <c r="S21" s="828">
        <f>SUM(S16:S20)</f>
        <v>404900</v>
      </c>
      <c r="T21" s="828">
        <f t="shared" si="14"/>
        <v>13815300</v>
      </c>
      <c r="U21" s="828">
        <f t="shared" si="14"/>
        <v>0</v>
      </c>
      <c r="V21" s="828">
        <f t="shared" si="14"/>
        <v>0</v>
      </c>
      <c r="W21" s="828">
        <f t="shared" si="14"/>
        <v>7717300</v>
      </c>
      <c r="X21" s="828">
        <f t="shared" si="14"/>
        <v>0</v>
      </c>
      <c r="Y21" s="828">
        <f t="shared" si="14"/>
        <v>7717300</v>
      </c>
      <c r="Z21" s="828">
        <f t="shared" si="14"/>
        <v>0</v>
      </c>
      <c r="AA21" s="828">
        <f t="shared" ref="AA21:AL21" si="15">SUM(AA16:AA20)</f>
        <v>4128050</v>
      </c>
      <c r="AB21" s="828">
        <f t="shared" si="15"/>
        <v>3334600</v>
      </c>
      <c r="AC21" s="828">
        <f t="shared" si="15"/>
        <v>793450</v>
      </c>
      <c r="AD21" s="828">
        <f t="shared" si="15"/>
        <v>11170430</v>
      </c>
      <c r="AE21" s="828">
        <f>SUM(AE16:AE20)</f>
        <v>1690</v>
      </c>
      <c r="AF21" s="828">
        <f>SUM(AF16:AF20)</f>
        <v>3951700</v>
      </c>
      <c r="AG21" s="828">
        <f>SUM(AG16:AG20)</f>
        <v>6373600</v>
      </c>
      <c r="AH21" s="828">
        <f>SUM(AH16:AH20)</f>
        <v>843440</v>
      </c>
      <c r="AI21" s="831">
        <f>SUM(AI16:AI20)</f>
        <v>11168740</v>
      </c>
      <c r="AJ21" s="828">
        <f t="shared" si="15"/>
        <v>0</v>
      </c>
      <c r="AK21" s="828">
        <f t="shared" si="15"/>
        <v>0</v>
      </c>
      <c r="AL21" s="828">
        <f t="shared" si="15"/>
        <v>0</v>
      </c>
      <c r="AM21" s="828">
        <f t="shared" ref="AM21:BR21" si="16">SUM(AM16:AM20)</f>
        <v>0</v>
      </c>
      <c r="AN21" s="828">
        <f t="shared" si="16"/>
        <v>0</v>
      </c>
      <c r="AO21" s="828">
        <f t="shared" si="16"/>
        <v>0</v>
      </c>
      <c r="AP21" s="828">
        <f t="shared" si="16"/>
        <v>2549958.5</v>
      </c>
      <c r="AQ21" s="828">
        <f t="shared" si="16"/>
        <v>11097402</v>
      </c>
      <c r="AR21" s="828">
        <f t="shared" si="16"/>
        <v>3521202</v>
      </c>
      <c r="AS21" s="828">
        <f t="shared" si="16"/>
        <v>1271300</v>
      </c>
      <c r="AT21" s="979">
        <f t="shared" si="16"/>
        <v>4604900</v>
      </c>
      <c r="AU21" s="979">
        <f t="shared" si="16"/>
        <v>0</v>
      </c>
      <c r="AV21" s="979">
        <f t="shared" si="16"/>
        <v>1700000</v>
      </c>
      <c r="AW21" s="828">
        <f t="shared" si="16"/>
        <v>0</v>
      </c>
      <c r="AX21" s="828">
        <f t="shared" si="16"/>
        <v>0</v>
      </c>
      <c r="AY21" s="828">
        <f t="shared" si="16"/>
        <v>5488300</v>
      </c>
      <c r="AZ21" s="828">
        <f t="shared" si="16"/>
        <v>74000</v>
      </c>
      <c r="BA21" s="828">
        <f t="shared" si="16"/>
        <v>0</v>
      </c>
      <c r="BB21" s="828">
        <f t="shared" si="16"/>
        <v>74000</v>
      </c>
      <c r="BC21" s="828">
        <f t="shared" si="16"/>
        <v>0</v>
      </c>
      <c r="BD21" s="828">
        <f t="shared" si="16"/>
        <v>0</v>
      </c>
      <c r="BE21" s="828">
        <f t="shared" si="16"/>
        <v>0</v>
      </c>
      <c r="BF21" s="828">
        <f t="shared" si="16"/>
        <v>1000000</v>
      </c>
      <c r="BG21" s="828">
        <f t="shared" si="16"/>
        <v>1500000</v>
      </c>
      <c r="BH21" s="828">
        <f t="shared" si="16"/>
        <v>7877805</v>
      </c>
      <c r="BI21" s="828">
        <f t="shared" si="16"/>
        <v>5934108</v>
      </c>
      <c r="BJ21" s="828">
        <f t="shared" si="16"/>
        <v>1513697</v>
      </c>
      <c r="BK21" s="828">
        <f t="shared" si="16"/>
        <v>180000</v>
      </c>
      <c r="BL21" s="828">
        <f t="shared" si="16"/>
        <v>0</v>
      </c>
      <c r="BM21" s="828">
        <f t="shared" si="16"/>
        <v>0</v>
      </c>
      <c r="BN21" s="828">
        <f t="shared" si="16"/>
        <v>0</v>
      </c>
      <c r="BO21" s="828">
        <f t="shared" si="16"/>
        <v>250000</v>
      </c>
      <c r="BP21" s="828">
        <f t="shared" si="16"/>
        <v>0</v>
      </c>
      <c r="BQ21" s="828">
        <f t="shared" si="16"/>
        <v>250000</v>
      </c>
      <c r="BR21" s="828">
        <f t="shared" si="16"/>
        <v>2094974135.75</v>
      </c>
      <c r="BS21" s="758" t="e">
        <f>#REF!</f>
        <v>#REF!</v>
      </c>
      <c r="BT21" s="759" t="e">
        <f t="shared" si="1"/>
        <v>#REF!</v>
      </c>
      <c r="BU21" s="759">
        <f>AQ21</f>
        <v>11097402</v>
      </c>
      <c r="BV21" s="758" t="e">
        <f>#REF!</f>
        <v>#REF!</v>
      </c>
      <c r="BW21" s="759" t="e">
        <f t="shared" si="2"/>
        <v>#REF!</v>
      </c>
      <c r="BX21" s="760">
        <f>BH21</f>
        <v>7877805</v>
      </c>
      <c r="BY21" s="501"/>
      <c r="CA21" s="760" t="b">
        <f t="shared" si="3"/>
        <v>1</v>
      </c>
      <c r="CC21" s="761">
        <f t="shared" si="4"/>
        <v>18975207</v>
      </c>
      <c r="CD21" s="501" t="e">
        <f t="shared" si="12"/>
        <v>#REF!</v>
      </c>
    </row>
    <row r="22" spans="1:82">
      <c r="A22" s="755" t="s">
        <v>822</v>
      </c>
      <c r="B22" s="768" t="s">
        <v>328</v>
      </c>
      <c r="C22" s="827">
        <v>10008700</v>
      </c>
      <c r="D22" s="827">
        <v>7706700</v>
      </c>
      <c r="E22" s="827">
        <v>2302000</v>
      </c>
      <c r="F22" s="827">
        <f>99943100-5468900</f>
        <v>94474200</v>
      </c>
      <c r="G22" s="827">
        <f>4576000-728000</f>
        <v>3848000</v>
      </c>
      <c r="H22" s="827">
        <f>60688400+825700-166600-8431300-243600</f>
        <v>52672600</v>
      </c>
      <c r="I22" s="827"/>
      <c r="J22" s="827"/>
      <c r="K22" s="827"/>
      <c r="L22" s="827">
        <f>1304800+100000</f>
        <v>1404800</v>
      </c>
      <c r="M22" s="827">
        <f t="shared" si="5"/>
        <v>0</v>
      </c>
      <c r="N22" s="827"/>
      <c r="O22" s="827"/>
      <c r="P22" s="827">
        <v>34011</v>
      </c>
      <c r="Q22" s="827">
        <f>542200+228000</f>
        <v>770200</v>
      </c>
      <c r="R22" s="827">
        <f>542200</f>
        <v>542200</v>
      </c>
      <c r="S22" s="827">
        <v>18200</v>
      </c>
      <c r="T22" s="827">
        <f>769500+150000+250000-120000+40000</f>
        <v>1089500</v>
      </c>
      <c r="U22" s="827"/>
      <c r="V22" s="827"/>
      <c r="W22" s="827">
        <f t="shared" si="6"/>
        <v>0</v>
      </c>
      <c r="X22" s="827"/>
      <c r="Y22" s="827"/>
      <c r="Z22" s="827"/>
      <c r="AA22" s="827">
        <f t="shared" si="7"/>
        <v>247550</v>
      </c>
      <c r="AB22" s="827">
        <f>89900+44300</f>
        <v>134200</v>
      </c>
      <c r="AC22" s="827">
        <v>113350</v>
      </c>
      <c r="AD22" s="827">
        <f t="shared" si="8"/>
        <v>967640</v>
      </c>
      <c r="AE22" s="827">
        <v>43580</v>
      </c>
      <c r="AF22" s="827">
        <v>398380</v>
      </c>
      <c r="AG22" s="827">
        <v>301780</v>
      </c>
      <c r="AH22" s="827">
        <v>223900</v>
      </c>
      <c r="AI22" s="978">
        <f>SUM(AF22:AH22)</f>
        <v>924060</v>
      </c>
      <c r="AJ22" s="827"/>
      <c r="AK22" s="827"/>
      <c r="AL22" s="827"/>
      <c r="AM22" s="827"/>
      <c r="AN22" s="827"/>
      <c r="AO22" s="827"/>
      <c r="AP22" s="827"/>
      <c r="AQ22" s="830">
        <f t="shared" si="9"/>
        <v>123400</v>
      </c>
      <c r="AR22" s="830">
        <v>30000</v>
      </c>
      <c r="AS22" s="827">
        <v>50000</v>
      </c>
      <c r="AT22" s="830">
        <v>43400</v>
      </c>
      <c r="AU22" s="830"/>
      <c r="AV22" s="830"/>
      <c r="AW22" s="827"/>
      <c r="AX22" s="827"/>
      <c r="AY22" s="827"/>
      <c r="AZ22" s="827">
        <f t="shared" si="10"/>
        <v>0</v>
      </c>
      <c r="BA22" s="827"/>
      <c r="BB22" s="827"/>
      <c r="BC22" s="827"/>
      <c r="BD22" s="827"/>
      <c r="BE22" s="827">
        <v>119600</v>
      </c>
      <c r="BF22" s="827"/>
      <c r="BG22" s="827"/>
      <c r="BH22" s="830">
        <f t="shared" ref="BH22:BH44" si="17">SUM(BI22:BO22)</f>
        <v>120000</v>
      </c>
      <c r="BI22" s="830">
        <f>50000+70000</f>
        <v>120000</v>
      </c>
      <c r="BJ22" s="830"/>
      <c r="BK22" s="830"/>
      <c r="BL22" s="830"/>
      <c r="BM22" s="827"/>
      <c r="BN22" s="828"/>
      <c r="BO22" s="827">
        <f t="shared" si="0"/>
        <v>0</v>
      </c>
      <c r="BP22" s="827"/>
      <c r="BQ22" s="827"/>
      <c r="BR22" s="827">
        <f t="shared" si="11"/>
        <v>165880201</v>
      </c>
      <c r="BS22" s="758" t="e">
        <f>#REF!</f>
        <v>#REF!</v>
      </c>
      <c r="BT22" s="759" t="e">
        <f t="shared" si="1"/>
        <v>#REF!</v>
      </c>
      <c r="BU22" s="759">
        <f>AQ22-дод5.1!D615</f>
        <v>0</v>
      </c>
      <c r="BV22" s="758" t="e">
        <f>#REF!</f>
        <v>#REF!</v>
      </c>
      <c r="BW22" s="759" t="e">
        <f t="shared" si="2"/>
        <v>#REF!</v>
      </c>
      <c r="BX22" s="760">
        <f>BH22-дод5.1!E615</f>
        <v>0</v>
      </c>
      <c r="BY22" s="501"/>
      <c r="CA22" s="760" t="b">
        <f t="shared" si="3"/>
        <v>1</v>
      </c>
      <c r="CC22" s="761">
        <f t="shared" si="4"/>
        <v>243400</v>
      </c>
      <c r="CD22" s="501" t="e">
        <f t="shared" si="12"/>
        <v>#REF!</v>
      </c>
    </row>
    <row r="23" spans="1:82">
      <c r="A23" s="755" t="s">
        <v>823</v>
      </c>
      <c r="B23" s="768" t="s">
        <v>329</v>
      </c>
      <c r="C23" s="827">
        <v>2783500</v>
      </c>
      <c r="D23" s="827">
        <f>2143300+95400+25000</f>
        <v>2263700</v>
      </c>
      <c r="E23" s="827">
        <f>640200-95400-25000</f>
        <v>519800</v>
      </c>
      <c r="F23" s="827">
        <f>84140000-3206500</f>
        <v>80933500</v>
      </c>
      <c r="G23" s="827">
        <f>9175000-260000</f>
        <v>8915000</v>
      </c>
      <c r="H23" s="827">
        <f>95369700-2870200-719000-12282700-366000</f>
        <v>79131800</v>
      </c>
      <c r="I23" s="827"/>
      <c r="J23" s="827"/>
      <c r="K23" s="827"/>
      <c r="L23" s="827">
        <f>2343700-80000-6000-70000</f>
        <v>2187700</v>
      </c>
      <c r="M23" s="827">
        <f t="shared" si="5"/>
        <v>0</v>
      </c>
      <c r="N23" s="827"/>
      <c r="O23" s="827"/>
      <c r="P23" s="827"/>
      <c r="Q23" s="827">
        <v>49500</v>
      </c>
      <c r="R23" s="827"/>
      <c r="S23" s="827">
        <v>1200</v>
      </c>
      <c r="T23" s="827"/>
      <c r="U23" s="827"/>
      <c r="V23" s="827"/>
      <c r="W23" s="827">
        <f t="shared" si="6"/>
        <v>0</v>
      </c>
      <c r="X23" s="827"/>
      <c r="Y23" s="827"/>
      <c r="Z23" s="827"/>
      <c r="AA23" s="827">
        <f t="shared" si="7"/>
        <v>16800</v>
      </c>
      <c r="AB23" s="827">
        <f>22500-5700</f>
        <v>16800</v>
      </c>
      <c r="AC23" s="827"/>
      <c r="AD23" s="827">
        <f t="shared" si="8"/>
        <v>170150</v>
      </c>
      <c r="AE23" s="827">
        <v>6750</v>
      </c>
      <c r="AF23" s="827">
        <v>64900</v>
      </c>
      <c r="AG23" s="827">
        <v>77200</v>
      </c>
      <c r="AH23" s="827">
        <v>21300</v>
      </c>
      <c r="AI23" s="978">
        <f t="shared" ref="AI23:AI86" si="18">SUM(AF23:AH23)</f>
        <v>163400</v>
      </c>
      <c r="AJ23" s="827"/>
      <c r="AK23" s="827"/>
      <c r="AL23" s="827"/>
      <c r="AM23" s="827"/>
      <c r="AN23" s="827"/>
      <c r="AO23" s="827"/>
      <c r="AP23" s="827"/>
      <c r="AQ23" s="830">
        <f t="shared" si="9"/>
        <v>50500</v>
      </c>
      <c r="AR23" s="830">
        <f>5000+6900</f>
        <v>11900</v>
      </c>
      <c r="AS23" s="827"/>
      <c r="AT23" s="830">
        <v>38600</v>
      </c>
      <c r="AU23" s="830"/>
      <c r="AV23" s="830"/>
      <c r="AW23" s="827"/>
      <c r="AX23" s="827"/>
      <c r="AY23" s="827"/>
      <c r="AZ23" s="827">
        <f t="shared" si="10"/>
        <v>0</v>
      </c>
      <c r="BA23" s="827"/>
      <c r="BB23" s="827"/>
      <c r="BC23" s="827"/>
      <c r="BD23" s="827"/>
      <c r="BE23" s="827">
        <v>161300</v>
      </c>
      <c r="BF23" s="827"/>
      <c r="BG23" s="827"/>
      <c r="BH23" s="830">
        <f t="shared" si="17"/>
        <v>352000</v>
      </c>
      <c r="BI23" s="830">
        <v>10000</v>
      </c>
      <c r="BJ23" s="830">
        <f>342000</f>
        <v>342000</v>
      </c>
      <c r="BK23" s="830"/>
      <c r="BL23" s="830"/>
      <c r="BM23" s="827"/>
      <c r="BN23" s="828"/>
      <c r="BO23" s="827">
        <f t="shared" si="0"/>
        <v>0</v>
      </c>
      <c r="BP23" s="827"/>
      <c r="BQ23" s="827"/>
      <c r="BR23" s="827">
        <f t="shared" si="11"/>
        <v>174751750</v>
      </c>
      <c r="BS23" s="758" t="e">
        <f>#REF!</f>
        <v>#REF!</v>
      </c>
      <c r="BT23" s="759" t="e">
        <f t="shared" si="1"/>
        <v>#REF!</v>
      </c>
      <c r="BU23" s="759">
        <f>AQ23-дод5.1!D675</f>
        <v>0</v>
      </c>
      <c r="BV23" s="758" t="e">
        <f>#REF!</f>
        <v>#REF!</v>
      </c>
      <c r="BW23" s="759" t="e">
        <f t="shared" si="2"/>
        <v>#REF!</v>
      </c>
      <c r="BX23" s="760">
        <f>BH23-дод5.1!E675</f>
        <v>0</v>
      </c>
      <c r="BY23" s="501">
        <f>BX23+BU23</f>
        <v>0</v>
      </c>
      <c r="CA23" s="760" t="b">
        <f t="shared" si="3"/>
        <v>1</v>
      </c>
      <c r="CC23" s="761">
        <f t="shared" si="4"/>
        <v>402500</v>
      </c>
      <c r="CD23" s="501" t="e">
        <f t="shared" si="12"/>
        <v>#REF!</v>
      </c>
    </row>
    <row r="24" spans="1:82">
      <c r="A24" s="755" t="s">
        <v>824</v>
      </c>
      <c r="B24" s="768" t="s">
        <v>330</v>
      </c>
      <c r="C24" s="827">
        <v>10210000</v>
      </c>
      <c r="D24" s="827">
        <v>7861700</v>
      </c>
      <c r="E24" s="827">
        <v>2348300</v>
      </c>
      <c r="F24" s="827">
        <f>91941400-1778300</f>
        <v>90163100</v>
      </c>
      <c r="G24" s="827">
        <f>4725900-172000</f>
        <v>4553900</v>
      </c>
      <c r="H24" s="827">
        <f>58605700-3899000+517900-7075200-221700</f>
        <v>47927700</v>
      </c>
      <c r="I24" s="827"/>
      <c r="J24" s="827">
        <v>582814.18000000005</v>
      </c>
      <c r="K24" s="827"/>
      <c r="L24" s="827">
        <v>820200</v>
      </c>
      <c r="M24" s="827">
        <f t="shared" si="5"/>
        <v>0</v>
      </c>
      <c r="N24" s="827"/>
      <c r="O24" s="827"/>
      <c r="P24" s="827"/>
      <c r="Q24" s="827">
        <f>482300+937900+193300</f>
        <v>1613500</v>
      </c>
      <c r="R24" s="827">
        <f>482300+115000</f>
        <v>597300</v>
      </c>
      <c r="S24" s="827">
        <v>14300</v>
      </c>
      <c r="T24" s="827">
        <f>371100+66700+250000-22480-70000+80000</f>
        <v>675320</v>
      </c>
      <c r="U24" s="827"/>
      <c r="V24" s="827"/>
      <c r="W24" s="827">
        <f t="shared" si="6"/>
        <v>1648600</v>
      </c>
      <c r="X24" s="827"/>
      <c r="Y24" s="827">
        <f>648600+1000000</f>
        <v>1648600</v>
      </c>
      <c r="Z24" s="827"/>
      <c r="AA24" s="827">
        <f t="shared" si="7"/>
        <v>398550</v>
      </c>
      <c r="AB24" s="827">
        <f>202200+83000</f>
        <v>285200</v>
      </c>
      <c r="AC24" s="827">
        <v>113350</v>
      </c>
      <c r="AD24" s="827">
        <f t="shared" si="8"/>
        <v>954320</v>
      </c>
      <c r="AE24" s="827">
        <v>57920</v>
      </c>
      <c r="AF24" s="827">
        <v>384500</v>
      </c>
      <c r="AG24" s="827">
        <v>266700</v>
      </c>
      <c r="AH24" s="827">
        <v>245200</v>
      </c>
      <c r="AI24" s="978">
        <f t="shared" si="18"/>
        <v>896400</v>
      </c>
      <c r="AJ24" s="827"/>
      <c r="AK24" s="827"/>
      <c r="AL24" s="827">
        <v>855600</v>
      </c>
      <c r="AM24" s="827">
        <v>2000</v>
      </c>
      <c r="AN24" s="827"/>
      <c r="AO24" s="827"/>
      <c r="AP24" s="827"/>
      <c r="AQ24" s="830">
        <f t="shared" si="9"/>
        <v>897771</v>
      </c>
      <c r="AR24" s="830">
        <f>35000+15000+186278+97993+80300+62800</f>
        <v>477371</v>
      </c>
      <c r="AS24" s="827">
        <f>200000+170000+14500</f>
        <v>384500</v>
      </c>
      <c r="AT24" s="830">
        <v>35900</v>
      </c>
      <c r="AU24" s="830"/>
      <c r="AV24" s="830"/>
      <c r="AW24" s="827"/>
      <c r="AX24" s="827"/>
      <c r="AY24" s="827"/>
      <c r="AZ24" s="827">
        <f t="shared" si="10"/>
        <v>15000</v>
      </c>
      <c r="BA24" s="827"/>
      <c r="BB24" s="827"/>
      <c r="BC24" s="827">
        <v>15000</v>
      </c>
      <c r="BD24" s="827"/>
      <c r="BE24" s="827">
        <v>203400</v>
      </c>
      <c r="BF24" s="827"/>
      <c r="BG24" s="827"/>
      <c r="BH24" s="830">
        <f t="shared" si="17"/>
        <v>1105504</v>
      </c>
      <c r="BI24" s="830">
        <f>25000+202604+12000</f>
        <v>239604</v>
      </c>
      <c r="BJ24" s="830">
        <f>170400+200000+65500+250000</f>
        <v>685900</v>
      </c>
      <c r="BK24" s="830">
        <v>180000</v>
      </c>
      <c r="BL24" s="830"/>
      <c r="BM24" s="827"/>
      <c r="BN24" s="828"/>
      <c r="BO24" s="827">
        <f t="shared" si="0"/>
        <v>0</v>
      </c>
      <c r="BP24" s="827"/>
      <c r="BQ24" s="827"/>
      <c r="BR24" s="827">
        <f t="shared" si="11"/>
        <v>162625279.18000001</v>
      </c>
      <c r="BS24" s="758" t="e">
        <f>#REF!</f>
        <v>#REF!</v>
      </c>
      <c r="BT24" s="759" t="e">
        <f t="shared" si="1"/>
        <v>#REF!</v>
      </c>
      <c r="BU24" s="759">
        <f>AQ24-дод5.1!D724</f>
        <v>0</v>
      </c>
      <c r="BV24" s="758" t="e">
        <f>#REF!</f>
        <v>#REF!</v>
      </c>
      <c r="BW24" s="759" t="e">
        <f t="shared" si="2"/>
        <v>#REF!</v>
      </c>
      <c r="BX24" s="760">
        <f>BH24-дод5.1!E724</f>
        <v>0</v>
      </c>
      <c r="BY24" s="501">
        <f>BX24+BU24</f>
        <v>0</v>
      </c>
      <c r="CA24" s="760" t="b">
        <f t="shared" si="3"/>
        <v>1</v>
      </c>
      <c r="CC24" s="761">
        <f t="shared" si="4"/>
        <v>2003275</v>
      </c>
      <c r="CD24" s="501" t="e">
        <f t="shared" si="12"/>
        <v>#REF!</v>
      </c>
    </row>
    <row r="25" spans="1:82">
      <c r="A25" s="755" t="s">
        <v>825</v>
      </c>
      <c r="B25" s="768" t="s">
        <v>310</v>
      </c>
      <c r="C25" s="827">
        <v>679300</v>
      </c>
      <c r="D25" s="827">
        <v>523100</v>
      </c>
      <c r="E25" s="827">
        <v>156200</v>
      </c>
      <c r="F25" s="827">
        <f>61986300-3418800</f>
        <v>58567500</v>
      </c>
      <c r="G25" s="827">
        <f>1386300-139000</f>
        <v>1247300</v>
      </c>
      <c r="H25" s="827">
        <f>31177100-391000+626000-4717500-99500</f>
        <v>26595100</v>
      </c>
      <c r="I25" s="827"/>
      <c r="J25" s="827"/>
      <c r="K25" s="827"/>
      <c r="L25" s="827">
        <f>1775700-80000-70000</f>
        <v>1625700</v>
      </c>
      <c r="M25" s="827">
        <f t="shared" si="5"/>
        <v>0</v>
      </c>
      <c r="N25" s="827"/>
      <c r="O25" s="827"/>
      <c r="P25" s="827"/>
      <c r="Q25" s="827">
        <v>8700</v>
      </c>
      <c r="R25" s="827"/>
      <c r="S25" s="827">
        <v>600</v>
      </c>
      <c r="T25" s="827"/>
      <c r="U25" s="827"/>
      <c r="V25" s="827"/>
      <c r="W25" s="827">
        <f t="shared" si="6"/>
        <v>0</v>
      </c>
      <c r="X25" s="827"/>
      <c r="Y25" s="827"/>
      <c r="Z25" s="827"/>
      <c r="AA25" s="827">
        <f t="shared" si="7"/>
        <v>16800</v>
      </c>
      <c r="AB25" s="827">
        <v>16800</v>
      </c>
      <c r="AC25" s="827"/>
      <c r="AD25" s="827">
        <f t="shared" si="8"/>
        <v>71600</v>
      </c>
      <c r="AE25" s="827">
        <v>4500</v>
      </c>
      <c r="AF25" s="827">
        <v>32400</v>
      </c>
      <c r="AG25" s="827">
        <v>13400</v>
      </c>
      <c r="AH25" s="827">
        <v>21300</v>
      </c>
      <c r="AI25" s="978">
        <f t="shared" si="18"/>
        <v>67100</v>
      </c>
      <c r="AJ25" s="827"/>
      <c r="AK25" s="827"/>
      <c r="AL25" s="827"/>
      <c r="AM25" s="827"/>
      <c r="AN25" s="827"/>
      <c r="AO25" s="827"/>
      <c r="AP25" s="827">
        <v>846677</v>
      </c>
      <c r="AQ25" s="830">
        <f t="shared" si="9"/>
        <v>231400</v>
      </c>
      <c r="AR25" s="830"/>
      <c r="AS25" s="827"/>
      <c r="AT25" s="830">
        <v>231400</v>
      </c>
      <c r="AU25" s="830"/>
      <c r="AV25" s="830"/>
      <c r="AW25" s="827"/>
      <c r="AX25" s="827"/>
      <c r="AY25" s="827"/>
      <c r="AZ25" s="827">
        <f t="shared" si="10"/>
        <v>0</v>
      </c>
      <c r="BA25" s="827"/>
      <c r="BB25" s="827"/>
      <c r="BC25" s="827"/>
      <c r="BD25" s="827"/>
      <c r="BE25" s="827">
        <v>126600</v>
      </c>
      <c r="BF25" s="827"/>
      <c r="BG25" s="827"/>
      <c r="BH25" s="830">
        <f t="shared" si="17"/>
        <v>10000</v>
      </c>
      <c r="BI25" s="830">
        <v>10000</v>
      </c>
      <c r="BJ25" s="830"/>
      <c r="BK25" s="830"/>
      <c r="BL25" s="830"/>
      <c r="BM25" s="827"/>
      <c r="BN25" s="828"/>
      <c r="BO25" s="827">
        <f t="shared" si="0"/>
        <v>0</v>
      </c>
      <c r="BP25" s="827"/>
      <c r="BQ25" s="827"/>
      <c r="BR25" s="829">
        <f t="shared" si="11"/>
        <v>90026677</v>
      </c>
      <c r="BS25" s="758" t="e">
        <f>#REF!</f>
        <v>#REF!</v>
      </c>
      <c r="BT25" s="759" t="e">
        <f t="shared" si="1"/>
        <v>#REF!</v>
      </c>
      <c r="BU25" s="759">
        <f>AQ25-дод5.1!D765</f>
        <v>0</v>
      </c>
      <c r="BV25" s="758" t="e">
        <f>#REF!</f>
        <v>#REF!</v>
      </c>
      <c r="BW25" s="759" t="e">
        <f t="shared" si="2"/>
        <v>#REF!</v>
      </c>
      <c r="BX25" s="760">
        <f>BH25-дод5.1!E765</f>
        <v>0</v>
      </c>
      <c r="BY25" s="501"/>
      <c r="CA25" s="760" t="b">
        <f t="shared" si="3"/>
        <v>1</v>
      </c>
      <c r="CC25" s="761">
        <f t="shared" si="4"/>
        <v>241400</v>
      </c>
      <c r="CD25" s="501" t="e">
        <f t="shared" si="12"/>
        <v>#REF!</v>
      </c>
    </row>
    <row r="26" spans="1:82">
      <c r="A26" s="755" t="s">
        <v>826</v>
      </c>
      <c r="B26" s="768" t="s">
        <v>269</v>
      </c>
      <c r="C26" s="827">
        <v>1075200</v>
      </c>
      <c r="D26" s="827">
        <v>827900</v>
      </c>
      <c r="E26" s="827">
        <v>247300</v>
      </c>
      <c r="F26" s="827">
        <f>29677600-3126000</f>
        <v>26551600</v>
      </c>
      <c r="G26" s="827">
        <f>15409800-422700-1422000</f>
        <v>13565100</v>
      </c>
      <c r="H26" s="827">
        <f>79919600-4068500-810200-8784200-305000</f>
        <v>65951700</v>
      </c>
      <c r="I26" s="827"/>
      <c r="J26" s="827">
        <f>853735.72+1632348</f>
        <v>2486083.7199999997</v>
      </c>
      <c r="K26" s="827"/>
      <c r="L26" s="827">
        <v>855600</v>
      </c>
      <c r="M26" s="827">
        <f t="shared" si="5"/>
        <v>0</v>
      </c>
      <c r="N26" s="827"/>
      <c r="O26" s="827"/>
      <c r="P26" s="827">
        <v>22154</v>
      </c>
      <c r="Q26" s="827">
        <f>570400+25000+17800</f>
        <v>613200</v>
      </c>
      <c r="R26" s="827">
        <f>570400+25000</f>
        <v>595400</v>
      </c>
      <c r="S26" s="827">
        <v>500</v>
      </c>
      <c r="T26" s="827"/>
      <c r="U26" s="827"/>
      <c r="V26" s="827"/>
      <c r="W26" s="827">
        <f t="shared" si="6"/>
        <v>0</v>
      </c>
      <c r="X26" s="827"/>
      <c r="Y26" s="827"/>
      <c r="Z26" s="827"/>
      <c r="AA26" s="827">
        <f t="shared" si="7"/>
        <v>0</v>
      </c>
      <c r="AB26" s="827"/>
      <c r="AC26" s="827"/>
      <c r="AD26" s="827">
        <f t="shared" si="8"/>
        <v>103450</v>
      </c>
      <c r="AE26" s="827">
        <v>6750</v>
      </c>
      <c r="AF26" s="827">
        <v>41700</v>
      </c>
      <c r="AG26" s="827">
        <v>23000</v>
      </c>
      <c r="AH26" s="827">
        <v>32000</v>
      </c>
      <c r="AI26" s="978">
        <f t="shared" si="18"/>
        <v>96700</v>
      </c>
      <c r="AJ26" s="827"/>
      <c r="AK26" s="827"/>
      <c r="AL26" s="827"/>
      <c r="AM26" s="827"/>
      <c r="AN26" s="827"/>
      <c r="AO26" s="827"/>
      <c r="AP26" s="827"/>
      <c r="AQ26" s="830">
        <f t="shared" si="9"/>
        <v>217489</v>
      </c>
      <c r="AR26" s="830">
        <f>40000+88689</f>
        <v>128689</v>
      </c>
      <c r="AS26" s="827"/>
      <c r="AT26" s="830">
        <v>88800</v>
      </c>
      <c r="AU26" s="830"/>
      <c r="AV26" s="830"/>
      <c r="AW26" s="827"/>
      <c r="AX26" s="827"/>
      <c r="AY26" s="827"/>
      <c r="AZ26" s="827">
        <f t="shared" si="10"/>
        <v>0</v>
      </c>
      <c r="BA26" s="827"/>
      <c r="BB26" s="827"/>
      <c r="BC26" s="827"/>
      <c r="BD26" s="827"/>
      <c r="BE26" s="827">
        <v>216800</v>
      </c>
      <c r="BF26" s="827"/>
      <c r="BG26" s="827"/>
      <c r="BH26" s="830">
        <f t="shared" si="17"/>
        <v>67000</v>
      </c>
      <c r="BI26" s="830">
        <f>10000+27000+30000</f>
        <v>67000</v>
      </c>
      <c r="BJ26" s="830"/>
      <c r="BK26" s="830"/>
      <c r="BL26" s="830"/>
      <c r="BM26" s="827"/>
      <c r="BN26" s="828"/>
      <c r="BO26" s="827">
        <f t="shared" si="0"/>
        <v>0</v>
      </c>
      <c r="BP26" s="827"/>
      <c r="BQ26" s="827"/>
      <c r="BR26" s="829">
        <f t="shared" si="11"/>
        <v>111725376.72</v>
      </c>
      <c r="BS26" s="758" t="e">
        <f>#REF!</f>
        <v>#REF!</v>
      </c>
      <c r="BT26" s="759" t="e">
        <f t="shared" si="1"/>
        <v>#REF!</v>
      </c>
      <c r="BU26" s="759">
        <f>AQ26-дод5.1!D819</f>
        <v>0</v>
      </c>
      <c r="BV26" s="758" t="e">
        <f>#REF!</f>
        <v>#REF!</v>
      </c>
      <c r="BW26" s="759" t="e">
        <f t="shared" si="2"/>
        <v>#REF!</v>
      </c>
      <c r="BX26" s="760">
        <f>BH26-дод5.1!E819</f>
        <v>0</v>
      </c>
      <c r="BY26" s="501">
        <f>BX26+BU26</f>
        <v>0</v>
      </c>
      <c r="CA26" s="760" t="b">
        <f t="shared" si="3"/>
        <v>1</v>
      </c>
      <c r="CC26" s="761">
        <f t="shared" si="4"/>
        <v>284489</v>
      </c>
      <c r="CD26" s="501" t="e">
        <f t="shared" si="12"/>
        <v>#REF!</v>
      </c>
    </row>
    <row r="27" spans="1:82">
      <c r="A27" s="755" t="s">
        <v>827</v>
      </c>
      <c r="B27" s="768" t="s">
        <v>311</v>
      </c>
      <c r="C27" s="827">
        <v>8925200</v>
      </c>
      <c r="D27" s="827">
        <v>6872400</v>
      </c>
      <c r="E27" s="827">
        <v>2052800</v>
      </c>
      <c r="F27" s="827">
        <f>74044000-1803200</f>
        <v>72240800</v>
      </c>
      <c r="G27" s="827">
        <f>8093400-646000</f>
        <v>7447400</v>
      </c>
      <c r="H27" s="827">
        <f>75847200+1287700-503700-9908000-307100</f>
        <v>66416100</v>
      </c>
      <c r="I27" s="827"/>
      <c r="J27" s="827"/>
      <c r="K27" s="827"/>
      <c r="L27" s="827">
        <f>1650700-30000-80000-30000-150000</f>
        <v>1360700</v>
      </c>
      <c r="M27" s="827">
        <f t="shared" si="5"/>
        <v>0</v>
      </c>
      <c r="N27" s="827"/>
      <c r="O27" s="827"/>
      <c r="P27" s="827">
        <v>46590</v>
      </c>
      <c r="Q27" s="827">
        <f>482300+786000+178500</f>
        <v>1446800</v>
      </c>
      <c r="R27" s="827">
        <f>482300+145000</f>
        <v>627300</v>
      </c>
      <c r="S27" s="827">
        <v>11400</v>
      </c>
      <c r="T27" s="827">
        <f>434500+100000+50000+40000</f>
        <v>624500</v>
      </c>
      <c r="U27" s="827"/>
      <c r="V27" s="827"/>
      <c r="W27" s="827">
        <f t="shared" si="6"/>
        <v>0</v>
      </c>
      <c r="X27" s="827"/>
      <c r="Y27" s="827"/>
      <c r="Z27" s="827"/>
      <c r="AA27" s="827">
        <f t="shared" si="7"/>
        <v>217011</v>
      </c>
      <c r="AB27" s="827">
        <f>314500-79600-131239</f>
        <v>103661</v>
      </c>
      <c r="AC27" s="827">
        <v>113350</v>
      </c>
      <c r="AD27" s="827">
        <f t="shared" si="8"/>
        <v>882090</v>
      </c>
      <c r="AE27" s="827">
        <v>50890</v>
      </c>
      <c r="AF27" s="827">
        <v>338200</v>
      </c>
      <c r="AG27" s="827">
        <v>269100</v>
      </c>
      <c r="AH27" s="827">
        <v>223900</v>
      </c>
      <c r="AI27" s="978">
        <f t="shared" si="18"/>
        <v>831200</v>
      </c>
      <c r="AJ27" s="827"/>
      <c r="AK27" s="827"/>
      <c r="AL27" s="827">
        <f>859700-859700</f>
        <v>0</v>
      </c>
      <c r="AM27" s="827">
        <f>2100-2100</f>
        <v>0</v>
      </c>
      <c r="AN27" s="827"/>
      <c r="AO27" s="827"/>
      <c r="AP27" s="827"/>
      <c r="AQ27" s="830">
        <f t="shared" si="9"/>
        <v>1344578</v>
      </c>
      <c r="AR27" s="830">
        <f>246278+15000+20200+40000+70000</f>
        <v>391478</v>
      </c>
      <c r="AS27" s="827">
        <f>350000+250000+336000</f>
        <v>936000</v>
      </c>
      <c r="AT27" s="830">
        <v>17100</v>
      </c>
      <c r="AU27" s="830"/>
      <c r="AV27" s="830"/>
      <c r="AW27" s="827"/>
      <c r="AX27" s="827"/>
      <c r="AY27" s="827"/>
      <c r="AZ27" s="827">
        <f t="shared" si="10"/>
        <v>0</v>
      </c>
      <c r="BA27" s="827"/>
      <c r="BB27" s="827"/>
      <c r="BC27" s="827"/>
      <c r="BD27" s="827"/>
      <c r="BE27" s="827">
        <v>171100</v>
      </c>
      <c r="BF27" s="827"/>
      <c r="BG27" s="827"/>
      <c r="BH27" s="830">
        <f t="shared" si="17"/>
        <v>1472046</v>
      </c>
      <c r="BI27" s="830">
        <f>5000+10000+195605+154441</f>
        <v>365046</v>
      </c>
      <c r="BJ27" s="830">
        <f>700000+400000+7000</f>
        <v>1107000</v>
      </c>
      <c r="BK27" s="830"/>
      <c r="BL27" s="830"/>
      <c r="BM27" s="827"/>
      <c r="BN27" s="828"/>
      <c r="BO27" s="827">
        <f t="shared" si="0"/>
        <v>0</v>
      </c>
      <c r="BP27" s="827"/>
      <c r="BQ27" s="827"/>
      <c r="BR27" s="829">
        <f t="shared" si="11"/>
        <v>162594915</v>
      </c>
      <c r="BS27" s="758" t="e">
        <f>#REF!</f>
        <v>#REF!</v>
      </c>
      <c r="BT27" s="759" t="e">
        <f t="shared" si="1"/>
        <v>#REF!</v>
      </c>
      <c r="BU27" s="759">
        <f>AQ27-дод5.1!D880</f>
        <v>0</v>
      </c>
      <c r="BV27" s="758" t="e">
        <f>#REF!</f>
        <v>#REF!</v>
      </c>
      <c r="BW27" s="759" t="e">
        <f t="shared" si="2"/>
        <v>#REF!</v>
      </c>
      <c r="BX27" s="760">
        <f>BH27-дод5.1!E880</f>
        <v>0</v>
      </c>
      <c r="BY27" s="501">
        <f t="shared" ref="BY27:BY32" si="19">BX27+BU27</f>
        <v>0</v>
      </c>
      <c r="CA27" s="760" t="b">
        <f t="shared" si="3"/>
        <v>1</v>
      </c>
      <c r="CC27" s="761">
        <f t="shared" si="4"/>
        <v>2816624</v>
      </c>
      <c r="CD27" s="501" t="e">
        <f t="shared" si="12"/>
        <v>#REF!</v>
      </c>
    </row>
    <row r="28" spans="1:82">
      <c r="A28" s="755" t="s">
        <v>828</v>
      </c>
      <c r="B28" s="768" t="s">
        <v>312</v>
      </c>
      <c r="C28" s="827">
        <v>4436500</v>
      </c>
      <c r="D28" s="827">
        <v>3416100</v>
      </c>
      <c r="E28" s="827">
        <v>1020400</v>
      </c>
      <c r="F28" s="827">
        <f>39162600-2636400</f>
        <v>36526200</v>
      </c>
      <c r="G28" s="827">
        <f>16616000-952000</f>
        <v>15664000</v>
      </c>
      <c r="H28" s="827">
        <f>81484700-1812800+1164000-10870200-322100</f>
        <v>69643600</v>
      </c>
      <c r="I28" s="827"/>
      <c r="J28" s="827">
        <f>819339.65+585204.17+736708</f>
        <v>2141251.8200000003</v>
      </c>
      <c r="K28" s="827"/>
      <c r="L28" s="827">
        <f>830200-40000-50000-70000</f>
        <v>670200</v>
      </c>
      <c r="M28" s="827">
        <f t="shared" si="5"/>
        <v>0</v>
      </c>
      <c r="N28" s="827"/>
      <c r="O28" s="827"/>
      <c r="P28" s="827">
        <v>11648</v>
      </c>
      <c r="Q28" s="827">
        <f>492900+535500+62300</f>
        <v>1090700</v>
      </c>
      <c r="R28" s="827">
        <f>492900+70000</f>
        <v>562900</v>
      </c>
      <c r="S28" s="827">
        <v>900</v>
      </c>
      <c r="T28" s="827">
        <f>1090000+70000</f>
        <v>1160000</v>
      </c>
      <c r="U28" s="827"/>
      <c r="V28" s="827"/>
      <c r="W28" s="827">
        <f t="shared" si="6"/>
        <v>0</v>
      </c>
      <c r="X28" s="827"/>
      <c r="Y28" s="827"/>
      <c r="Z28" s="827"/>
      <c r="AA28" s="827">
        <f t="shared" si="7"/>
        <v>117400</v>
      </c>
      <c r="AB28" s="827">
        <f>22500+94900</f>
        <v>117400</v>
      </c>
      <c r="AC28" s="827">
        <f>113350-113350</f>
        <v>0</v>
      </c>
      <c r="AD28" s="827">
        <f t="shared" si="8"/>
        <v>375170</v>
      </c>
      <c r="AE28" s="827">
        <v>25870</v>
      </c>
      <c r="AF28" s="827">
        <v>152900</v>
      </c>
      <c r="AG28" s="827">
        <v>89800</v>
      </c>
      <c r="AH28" s="827">
        <v>106600</v>
      </c>
      <c r="AI28" s="978">
        <f t="shared" si="18"/>
        <v>349300</v>
      </c>
      <c r="AJ28" s="827"/>
      <c r="AK28" s="827"/>
      <c r="AL28" s="827"/>
      <c r="AM28" s="827"/>
      <c r="AN28" s="827"/>
      <c r="AO28" s="827"/>
      <c r="AP28" s="827"/>
      <c r="AQ28" s="830">
        <f t="shared" si="9"/>
        <v>988083</v>
      </c>
      <c r="AR28" s="830">
        <f>39725+12258+145700+35000+8000</f>
        <v>240683</v>
      </c>
      <c r="AS28" s="827">
        <v>54800</v>
      </c>
      <c r="AT28" s="830">
        <v>692600</v>
      </c>
      <c r="AU28" s="830"/>
      <c r="AV28" s="830"/>
      <c r="AW28" s="827"/>
      <c r="AX28" s="827"/>
      <c r="AY28" s="827"/>
      <c r="AZ28" s="827">
        <f t="shared" si="10"/>
        <v>0</v>
      </c>
      <c r="BA28" s="827"/>
      <c r="BB28" s="827"/>
      <c r="BC28" s="827"/>
      <c r="BD28" s="827"/>
      <c r="BE28" s="827">
        <v>302400</v>
      </c>
      <c r="BF28" s="827"/>
      <c r="BG28" s="827"/>
      <c r="BH28" s="830">
        <f t="shared" si="17"/>
        <v>447807</v>
      </c>
      <c r="BI28" s="830">
        <f>149700+43500+109707+74900</f>
        <v>377807</v>
      </c>
      <c r="BJ28" s="830">
        <v>70000</v>
      </c>
      <c r="BK28" s="830"/>
      <c r="BL28" s="830"/>
      <c r="BM28" s="827"/>
      <c r="BN28" s="828"/>
      <c r="BO28" s="827">
        <f t="shared" si="0"/>
        <v>0</v>
      </c>
      <c r="BP28" s="827"/>
      <c r="BQ28" s="827"/>
      <c r="BR28" s="829">
        <f t="shared" si="11"/>
        <v>133574959.81999999</v>
      </c>
      <c r="BS28" s="758" t="e">
        <f>#REF!</f>
        <v>#REF!</v>
      </c>
      <c r="BT28" s="759" t="e">
        <f t="shared" si="1"/>
        <v>#REF!</v>
      </c>
      <c r="BU28" s="759">
        <f>AQ28-дод5.1!D919</f>
        <v>0</v>
      </c>
      <c r="BV28" s="758" t="e">
        <f>#REF!</f>
        <v>#REF!</v>
      </c>
      <c r="BW28" s="759" t="e">
        <f t="shared" si="2"/>
        <v>#REF!</v>
      </c>
      <c r="BX28" s="760">
        <f>BH28-дод5.1!E919</f>
        <v>0</v>
      </c>
      <c r="BY28" s="501">
        <f t="shared" si="19"/>
        <v>0</v>
      </c>
      <c r="CA28" s="760" t="b">
        <f t="shared" si="3"/>
        <v>1</v>
      </c>
      <c r="CC28" s="761">
        <f t="shared" si="4"/>
        <v>1435890</v>
      </c>
      <c r="CD28" s="501" t="e">
        <f t="shared" si="12"/>
        <v>#REF!</v>
      </c>
    </row>
    <row r="29" spans="1:82">
      <c r="A29" s="755" t="s">
        <v>829</v>
      </c>
      <c r="B29" s="768" t="s">
        <v>248</v>
      </c>
      <c r="C29" s="827">
        <v>14890700</v>
      </c>
      <c r="D29" s="827">
        <v>11465800</v>
      </c>
      <c r="E29" s="827">
        <v>3424900</v>
      </c>
      <c r="F29" s="827">
        <f>152203100-15089100</f>
        <v>137114000</v>
      </c>
      <c r="G29" s="827">
        <f>4367200+217800</f>
        <v>4585000</v>
      </c>
      <c r="H29" s="827">
        <f>107532000-1775900+1134200-13791300-418100</f>
        <v>92680900</v>
      </c>
      <c r="I29" s="827"/>
      <c r="J29" s="827">
        <v>582814.18000000005</v>
      </c>
      <c r="K29" s="827"/>
      <c r="L29" s="827">
        <f>2882100+300000+6000</f>
        <v>3188100</v>
      </c>
      <c r="M29" s="827">
        <f t="shared" si="5"/>
        <v>0</v>
      </c>
      <c r="N29" s="827"/>
      <c r="O29" s="827"/>
      <c r="P29" s="827">
        <v>186359</v>
      </c>
      <c r="Q29" s="827">
        <f>1341400-50000+160000+360500</f>
        <v>1811900</v>
      </c>
      <c r="R29" s="827">
        <f>1341400-50000+160000</f>
        <v>1451400</v>
      </c>
      <c r="S29" s="827">
        <v>26200</v>
      </c>
      <c r="T29" s="827">
        <f>1603300-250000+100000+120000</f>
        <v>1573300</v>
      </c>
      <c r="U29" s="827"/>
      <c r="V29" s="827"/>
      <c r="W29" s="827">
        <f t="shared" si="6"/>
        <v>1057900</v>
      </c>
      <c r="X29" s="827">
        <v>1057900</v>
      </c>
      <c r="Y29" s="827"/>
      <c r="Z29" s="827"/>
      <c r="AA29" s="827">
        <f t="shared" si="7"/>
        <v>331450</v>
      </c>
      <c r="AB29" s="827">
        <f>179700+38400</f>
        <v>218100</v>
      </c>
      <c r="AC29" s="827">
        <v>113350</v>
      </c>
      <c r="AD29" s="827">
        <f t="shared" si="8"/>
        <v>1253300</v>
      </c>
      <c r="AE29" s="827">
        <v>68600</v>
      </c>
      <c r="AF29" s="827">
        <v>495700</v>
      </c>
      <c r="AG29" s="827">
        <v>443800</v>
      </c>
      <c r="AH29" s="827">
        <v>245200</v>
      </c>
      <c r="AI29" s="978">
        <f t="shared" si="18"/>
        <v>1184700</v>
      </c>
      <c r="AJ29" s="827"/>
      <c r="AK29" s="827"/>
      <c r="AL29" s="827"/>
      <c r="AM29" s="827"/>
      <c r="AN29" s="827"/>
      <c r="AO29" s="827"/>
      <c r="AP29" s="827"/>
      <c r="AQ29" s="830">
        <f t="shared" si="9"/>
        <v>1193318</v>
      </c>
      <c r="AR29" s="830">
        <f>17000+55000+25000+40000+329488-15000+204719+4811</f>
        <v>661018</v>
      </c>
      <c r="AS29" s="827">
        <f>284000+100000</f>
        <v>384000</v>
      </c>
      <c r="AT29" s="830">
        <v>148300</v>
      </c>
      <c r="AU29" s="830"/>
      <c r="AV29" s="830"/>
      <c r="AW29" s="827"/>
      <c r="AX29" s="827"/>
      <c r="AY29" s="827">
        <v>778700</v>
      </c>
      <c r="AZ29" s="827">
        <f t="shared" si="10"/>
        <v>0</v>
      </c>
      <c r="BA29" s="827"/>
      <c r="BB29" s="827"/>
      <c r="BC29" s="827"/>
      <c r="BD29" s="827"/>
      <c r="BE29" s="827">
        <v>252600</v>
      </c>
      <c r="BF29" s="827"/>
      <c r="BG29" s="827"/>
      <c r="BH29" s="830">
        <f t="shared" si="17"/>
        <v>1197487</v>
      </c>
      <c r="BI29" s="830">
        <f>103000+180883-26026+64441-4811</f>
        <v>317487</v>
      </c>
      <c r="BJ29" s="830">
        <f>200000+70000</f>
        <v>270000</v>
      </c>
      <c r="BK29" s="830">
        <v>360000</v>
      </c>
      <c r="BL29" s="830"/>
      <c r="BM29" s="827"/>
      <c r="BN29" s="828"/>
      <c r="BO29" s="827">
        <f t="shared" si="0"/>
        <v>250000</v>
      </c>
      <c r="BP29" s="827">
        <v>150000</v>
      </c>
      <c r="BQ29" s="827">
        <v>100000</v>
      </c>
      <c r="BR29" s="829">
        <f t="shared" si="11"/>
        <v>262677828.18000001</v>
      </c>
      <c r="BS29" s="758" t="e">
        <f>#REF!</f>
        <v>#REF!</v>
      </c>
      <c r="BT29" s="759" t="e">
        <f t="shared" si="1"/>
        <v>#REF!</v>
      </c>
      <c r="BU29" s="759">
        <f>AQ29-дод5.1!D998</f>
        <v>0</v>
      </c>
      <c r="BV29" s="758" t="e">
        <f>#REF!</f>
        <v>#REF!</v>
      </c>
      <c r="BW29" s="759" t="e">
        <f t="shared" si="2"/>
        <v>#REF!</v>
      </c>
      <c r="BX29" s="760">
        <f>BH29-дод5.1!E998</f>
        <v>0</v>
      </c>
      <c r="BY29" s="501">
        <f t="shared" si="19"/>
        <v>0</v>
      </c>
      <c r="CA29" s="760" t="b">
        <f t="shared" si="3"/>
        <v>1</v>
      </c>
      <c r="CC29" s="761">
        <f t="shared" si="4"/>
        <v>2390805</v>
      </c>
      <c r="CD29" s="501" t="e">
        <f t="shared" si="12"/>
        <v>#REF!</v>
      </c>
    </row>
    <row r="30" spans="1:82">
      <c r="A30" s="755" t="s">
        <v>830</v>
      </c>
      <c r="B30" s="768" t="s">
        <v>313</v>
      </c>
      <c r="C30" s="827">
        <v>6319600</v>
      </c>
      <c r="D30" s="827">
        <v>4866100</v>
      </c>
      <c r="E30" s="827">
        <v>1453500</v>
      </c>
      <c r="F30" s="827">
        <f>28937000-2101300</f>
        <v>26835700</v>
      </c>
      <c r="G30" s="827">
        <f>10297800-124000</f>
        <v>10173800</v>
      </c>
      <c r="H30" s="827">
        <f>53235400-681300+531200-7401200-210300</f>
        <v>45473800</v>
      </c>
      <c r="I30" s="827"/>
      <c r="J30" s="827"/>
      <c r="K30" s="827"/>
      <c r="L30" s="827">
        <f>694500+20000</f>
        <v>714500</v>
      </c>
      <c r="M30" s="827">
        <f t="shared" si="5"/>
        <v>0</v>
      </c>
      <c r="N30" s="827"/>
      <c r="O30" s="827"/>
      <c r="P30" s="827"/>
      <c r="Q30" s="827">
        <f>271100+1541300</f>
        <v>1812400</v>
      </c>
      <c r="R30" s="827">
        <v>271100</v>
      </c>
      <c r="S30" s="827">
        <v>9400</v>
      </c>
      <c r="T30" s="827">
        <f>478500+300000-130000+50000</f>
        <v>698500</v>
      </c>
      <c r="U30" s="827"/>
      <c r="V30" s="827"/>
      <c r="W30" s="827">
        <f t="shared" si="6"/>
        <v>0</v>
      </c>
      <c r="X30" s="827"/>
      <c r="Y30" s="827"/>
      <c r="Z30" s="827"/>
      <c r="AA30" s="827">
        <f t="shared" si="7"/>
        <v>33600</v>
      </c>
      <c r="AB30" s="827">
        <f>22500+11100</f>
        <v>33600</v>
      </c>
      <c r="AC30" s="827"/>
      <c r="AD30" s="827">
        <f t="shared" si="8"/>
        <v>725490</v>
      </c>
      <c r="AE30" s="827">
        <v>56790</v>
      </c>
      <c r="AF30" s="827">
        <v>287200</v>
      </c>
      <c r="AG30" s="827">
        <v>168300</v>
      </c>
      <c r="AH30" s="827">
        <v>213200</v>
      </c>
      <c r="AI30" s="978">
        <f t="shared" si="18"/>
        <v>668700</v>
      </c>
      <c r="AJ30" s="827"/>
      <c r="AK30" s="827"/>
      <c r="AL30" s="827"/>
      <c r="AM30" s="827"/>
      <c r="AN30" s="827"/>
      <c r="AO30" s="827"/>
      <c r="AP30" s="827"/>
      <c r="AQ30" s="830">
        <f t="shared" si="9"/>
        <v>1441903</v>
      </c>
      <c r="AR30" s="830">
        <f>30000+15000+130678+50000+140000+201173+121882+12170</f>
        <v>700903</v>
      </c>
      <c r="AS30" s="827">
        <f>40000+60000+30000</f>
        <v>130000</v>
      </c>
      <c r="AT30" s="830">
        <v>611000</v>
      </c>
      <c r="AU30" s="830"/>
      <c r="AV30" s="830"/>
      <c r="AW30" s="827"/>
      <c r="AX30" s="827"/>
      <c r="AY30" s="827"/>
      <c r="AZ30" s="827">
        <f t="shared" si="10"/>
        <v>0</v>
      </c>
      <c r="BA30" s="827"/>
      <c r="BB30" s="827"/>
      <c r="BC30" s="827"/>
      <c r="BD30" s="827"/>
      <c r="BE30" s="827">
        <f>155192+348400</f>
        <v>503592</v>
      </c>
      <c r="BF30" s="827"/>
      <c r="BG30" s="827"/>
      <c r="BH30" s="830">
        <f t="shared" si="17"/>
        <v>1077374</v>
      </c>
      <c r="BI30" s="830">
        <f>65600+57000+124333+82441</f>
        <v>329374</v>
      </c>
      <c r="BJ30" s="830">
        <f>360000+362000+26000</f>
        <v>748000</v>
      </c>
      <c r="BK30" s="830"/>
      <c r="BL30" s="830"/>
      <c r="BM30" s="827"/>
      <c r="BN30" s="828"/>
      <c r="BO30" s="827">
        <f t="shared" si="0"/>
        <v>0</v>
      </c>
      <c r="BP30" s="827"/>
      <c r="BQ30" s="827"/>
      <c r="BR30" s="829">
        <f t="shared" si="11"/>
        <v>95810259</v>
      </c>
      <c r="BS30" s="758" t="e">
        <f>#REF!</f>
        <v>#REF!</v>
      </c>
      <c r="BT30" s="759" t="e">
        <f t="shared" si="1"/>
        <v>#REF!</v>
      </c>
      <c r="BU30" s="759">
        <f>AQ30-дод5.1!D1098</f>
        <v>0</v>
      </c>
      <c r="BV30" s="758" t="e">
        <f>#REF!</f>
        <v>#REF!</v>
      </c>
      <c r="BW30" s="759" t="e">
        <f t="shared" si="2"/>
        <v>#REF!</v>
      </c>
      <c r="BX30" s="760">
        <f>BH30-дод5.1!E1098</f>
        <v>0</v>
      </c>
      <c r="BY30" s="501">
        <f t="shared" si="19"/>
        <v>0</v>
      </c>
      <c r="CA30" s="760" t="b">
        <f t="shared" si="3"/>
        <v>1</v>
      </c>
      <c r="CC30" s="761">
        <f t="shared" si="4"/>
        <v>2519277</v>
      </c>
      <c r="CD30" s="501" t="e">
        <f t="shared" si="12"/>
        <v>#REF!</v>
      </c>
    </row>
    <row r="31" spans="1:82">
      <c r="A31" s="755" t="s">
        <v>831</v>
      </c>
      <c r="B31" s="768" t="s">
        <v>314</v>
      </c>
      <c r="C31" s="827">
        <v>3662000</v>
      </c>
      <c r="D31" s="827">
        <f>2819700+447000</f>
        <v>3266700</v>
      </c>
      <c r="E31" s="827">
        <f>842300-447000</f>
        <v>395300</v>
      </c>
      <c r="F31" s="827">
        <f>133994600-13662600</f>
        <v>120332000</v>
      </c>
      <c r="G31" s="827">
        <f>8912800-611000</f>
        <v>8301800</v>
      </c>
      <c r="H31" s="827">
        <f>93995900-744400+776100-12624500-374800</f>
        <v>81028300</v>
      </c>
      <c r="I31" s="827">
        <v>577044</v>
      </c>
      <c r="J31" s="827">
        <v>1056068</v>
      </c>
      <c r="K31" s="827">
        <v>710842</v>
      </c>
      <c r="L31" s="827">
        <v>504300</v>
      </c>
      <c r="M31" s="827">
        <f t="shared" si="5"/>
        <v>0</v>
      </c>
      <c r="N31" s="827"/>
      <c r="O31" s="827"/>
      <c r="P31" s="827">
        <v>58238</v>
      </c>
      <c r="Q31" s="827">
        <f>697100+561500+68600</f>
        <v>1327200</v>
      </c>
      <c r="R31" s="827">
        <f>697100+290000</f>
        <v>987100</v>
      </c>
      <c r="S31" s="827">
        <v>5800</v>
      </c>
      <c r="T31" s="827">
        <f>1169400-250000+220000-50000</f>
        <v>1089400</v>
      </c>
      <c r="U31" s="827"/>
      <c r="V31" s="827"/>
      <c r="W31" s="827">
        <f t="shared" si="6"/>
        <v>0</v>
      </c>
      <c r="X31" s="827"/>
      <c r="Y31" s="827"/>
      <c r="Z31" s="827"/>
      <c r="AA31" s="827">
        <f t="shared" si="7"/>
        <v>0</v>
      </c>
      <c r="AB31" s="827"/>
      <c r="AC31" s="827"/>
      <c r="AD31" s="827">
        <f t="shared" si="8"/>
        <v>437410</v>
      </c>
      <c r="AE31" s="827">
        <v>31210</v>
      </c>
      <c r="AF31" s="827">
        <v>176000</v>
      </c>
      <c r="AG31" s="827">
        <v>102300</v>
      </c>
      <c r="AH31" s="827">
        <v>127900</v>
      </c>
      <c r="AI31" s="978">
        <f t="shared" si="18"/>
        <v>406200</v>
      </c>
      <c r="AJ31" s="827"/>
      <c r="AK31" s="827"/>
      <c r="AL31" s="827"/>
      <c r="AM31" s="827"/>
      <c r="AN31" s="827"/>
      <c r="AO31" s="827"/>
      <c r="AP31" s="827"/>
      <c r="AQ31" s="830">
        <f t="shared" si="9"/>
        <v>335891</v>
      </c>
      <c r="AR31" s="830">
        <f>7000+15000+50000+80200+79441+35000</f>
        <v>266641</v>
      </c>
      <c r="AS31" s="827">
        <v>27350</v>
      </c>
      <c r="AT31" s="830">
        <v>41900</v>
      </c>
      <c r="AU31" s="830"/>
      <c r="AV31" s="830"/>
      <c r="AW31" s="827"/>
      <c r="AX31" s="827"/>
      <c r="AY31" s="827"/>
      <c r="AZ31" s="827">
        <f t="shared" si="10"/>
        <v>0</v>
      </c>
      <c r="BA31" s="827"/>
      <c r="BB31" s="827"/>
      <c r="BC31" s="827"/>
      <c r="BD31" s="827"/>
      <c r="BE31" s="827">
        <v>228800</v>
      </c>
      <c r="BF31" s="827"/>
      <c r="BG31" s="827"/>
      <c r="BH31" s="830">
        <f t="shared" si="17"/>
        <v>267800</v>
      </c>
      <c r="BI31" s="830">
        <f>23000+20000+30000+74800+65000-35000</f>
        <v>177800</v>
      </c>
      <c r="BJ31" s="830"/>
      <c r="BK31" s="830"/>
      <c r="BL31" s="830"/>
      <c r="BM31" s="827"/>
      <c r="BN31" s="828"/>
      <c r="BO31" s="827">
        <f t="shared" si="0"/>
        <v>90000</v>
      </c>
      <c r="BP31" s="827"/>
      <c r="BQ31" s="827">
        <v>90000</v>
      </c>
      <c r="BR31" s="829">
        <f t="shared" si="11"/>
        <v>219917093</v>
      </c>
      <c r="BS31" s="758" t="e">
        <f>#REF!</f>
        <v>#REF!</v>
      </c>
      <c r="BT31" s="759" t="e">
        <f t="shared" si="1"/>
        <v>#REF!</v>
      </c>
      <c r="BU31" s="759">
        <f>AQ31-дод5.1!D1165</f>
        <v>0</v>
      </c>
      <c r="BV31" s="758" t="e">
        <f>#REF!</f>
        <v>#REF!</v>
      </c>
      <c r="BW31" s="759" t="e">
        <f t="shared" si="2"/>
        <v>#REF!</v>
      </c>
      <c r="BX31" s="760">
        <f>BH31-дод5.1!E1165</f>
        <v>0</v>
      </c>
      <c r="BY31" s="501">
        <f t="shared" si="19"/>
        <v>0</v>
      </c>
      <c r="CA31" s="760" t="b">
        <f t="shared" si="3"/>
        <v>1</v>
      </c>
      <c r="CC31" s="761">
        <f t="shared" si="4"/>
        <v>603691</v>
      </c>
      <c r="CD31" s="501" t="e">
        <f t="shared" si="12"/>
        <v>#REF!</v>
      </c>
    </row>
    <row r="32" spans="1:82">
      <c r="A32" s="755" t="s">
        <v>832</v>
      </c>
      <c r="B32" s="768" t="s">
        <v>315</v>
      </c>
      <c r="C32" s="827">
        <v>4666300</v>
      </c>
      <c r="D32" s="827">
        <f>3593100+540000</f>
        <v>4133100</v>
      </c>
      <c r="E32" s="827">
        <f>1073200-540000</f>
        <v>533200</v>
      </c>
      <c r="F32" s="827">
        <f>20628100-2253500</f>
        <v>18374600</v>
      </c>
      <c r="G32" s="827">
        <f>9508400-315000</f>
        <v>9193400</v>
      </c>
      <c r="H32" s="827">
        <f>34172200+13100+224300-4708800-126300</f>
        <v>29574500</v>
      </c>
      <c r="I32" s="827"/>
      <c r="J32" s="827">
        <v>584944.88</v>
      </c>
      <c r="K32" s="827"/>
      <c r="L32" s="827">
        <f>511900-20000-30000</f>
        <v>461900</v>
      </c>
      <c r="M32" s="827">
        <f t="shared" si="5"/>
        <v>0</v>
      </c>
      <c r="N32" s="827"/>
      <c r="O32" s="827"/>
      <c r="P32" s="827">
        <v>25624</v>
      </c>
      <c r="Q32" s="827">
        <f>376700+100000+1096000+573400+200000-200000</f>
        <v>2146100</v>
      </c>
      <c r="R32" s="827">
        <f>376700+100000+120000</f>
        <v>596700</v>
      </c>
      <c r="S32" s="827">
        <v>1000</v>
      </c>
      <c r="T32" s="827">
        <f>373400-92229.38</f>
        <v>281170.62</v>
      </c>
      <c r="U32" s="827"/>
      <c r="V32" s="827"/>
      <c r="W32" s="827">
        <f t="shared" si="6"/>
        <v>0</v>
      </c>
      <c r="X32" s="827"/>
      <c r="Y32" s="827"/>
      <c r="Z32" s="827"/>
      <c r="AA32" s="827">
        <f t="shared" si="7"/>
        <v>7500</v>
      </c>
      <c r="AB32" s="827">
        <f>22500-15000</f>
        <v>7500</v>
      </c>
      <c r="AC32" s="827"/>
      <c r="AD32" s="827">
        <f t="shared" si="8"/>
        <v>380380</v>
      </c>
      <c r="AE32" s="827">
        <v>28680</v>
      </c>
      <c r="AF32" s="827">
        <v>143600</v>
      </c>
      <c r="AG32" s="827">
        <v>80200</v>
      </c>
      <c r="AH32" s="827">
        <v>127900</v>
      </c>
      <c r="AI32" s="978">
        <f t="shared" si="18"/>
        <v>351700</v>
      </c>
      <c r="AJ32" s="827"/>
      <c r="AK32" s="827"/>
      <c r="AL32" s="827">
        <v>1600</v>
      </c>
      <c r="AM32" s="827">
        <v>1600</v>
      </c>
      <c r="AN32" s="827"/>
      <c r="AO32" s="827"/>
      <c r="AP32" s="827"/>
      <c r="AQ32" s="830">
        <f t="shared" si="9"/>
        <v>1515283</v>
      </c>
      <c r="AR32" s="830">
        <f>75278+50000+20000+15605+62000</f>
        <v>222883</v>
      </c>
      <c r="AS32" s="827">
        <f>200000+50000</f>
        <v>250000</v>
      </c>
      <c r="AT32" s="830">
        <v>942400</v>
      </c>
      <c r="AU32" s="830">
        <v>100000</v>
      </c>
      <c r="AV32" s="830"/>
      <c r="AW32" s="827"/>
      <c r="AX32" s="827"/>
      <c r="AY32" s="827"/>
      <c r="AZ32" s="827">
        <f t="shared" si="10"/>
        <v>0</v>
      </c>
      <c r="BA32" s="827"/>
      <c r="BB32" s="827"/>
      <c r="BC32" s="827"/>
      <c r="BD32" s="827"/>
      <c r="BE32" s="827">
        <f>68125+137600</f>
        <v>205725</v>
      </c>
      <c r="BF32" s="827"/>
      <c r="BG32" s="827"/>
      <c r="BH32" s="830">
        <f t="shared" si="17"/>
        <v>116000</v>
      </c>
      <c r="BI32" s="830">
        <f>76000+40000</f>
        <v>116000</v>
      </c>
      <c r="BJ32" s="830"/>
      <c r="BK32" s="830"/>
      <c r="BL32" s="830"/>
      <c r="BM32" s="827"/>
      <c r="BN32" s="828"/>
      <c r="BO32" s="827">
        <f t="shared" si="0"/>
        <v>0</v>
      </c>
      <c r="BP32" s="827"/>
      <c r="BQ32" s="827">
        <f>150000-100000-50000</f>
        <v>0</v>
      </c>
      <c r="BR32" s="829">
        <f t="shared" si="11"/>
        <v>67535027.5</v>
      </c>
      <c r="BS32" s="758" t="e">
        <f>#REF!</f>
        <v>#REF!</v>
      </c>
      <c r="BT32" s="759" t="e">
        <f t="shared" si="1"/>
        <v>#REF!</v>
      </c>
      <c r="BU32" s="759">
        <f>AQ32-дод5.1!D1264</f>
        <v>0</v>
      </c>
      <c r="BV32" s="758" t="e">
        <f>#REF!</f>
        <v>#REF!</v>
      </c>
      <c r="BW32" s="759" t="e">
        <f t="shared" si="2"/>
        <v>#REF!</v>
      </c>
      <c r="BX32" s="760">
        <f>BH32-дод5.1!E1264</f>
        <v>0</v>
      </c>
      <c r="BY32" s="501">
        <f t="shared" si="19"/>
        <v>0</v>
      </c>
      <c r="CA32" s="760" t="b">
        <f t="shared" si="3"/>
        <v>1</v>
      </c>
      <c r="CC32" s="761">
        <f t="shared" si="4"/>
        <v>1631283</v>
      </c>
      <c r="CD32" s="501" t="e">
        <f t="shared" si="12"/>
        <v>#REF!</v>
      </c>
    </row>
    <row r="33" spans="1:82">
      <c r="A33" s="755" t="s">
        <v>833</v>
      </c>
      <c r="B33" s="768" t="s">
        <v>316</v>
      </c>
      <c r="C33" s="827">
        <v>2642500</v>
      </c>
      <c r="D33" s="827">
        <v>2034700</v>
      </c>
      <c r="E33" s="827">
        <v>607800</v>
      </c>
      <c r="F33" s="827">
        <f>83475100-7271000</f>
        <v>76204100</v>
      </c>
      <c r="G33" s="827">
        <f>1931900-325000</f>
        <v>1606900</v>
      </c>
      <c r="H33" s="827">
        <f>51059000-2438100-294800-5845900-195600</f>
        <v>42284600</v>
      </c>
      <c r="I33" s="827"/>
      <c r="J33" s="827">
        <v>626077.46</v>
      </c>
      <c r="K33" s="827"/>
      <c r="L33" s="827">
        <f>1714100-30000-70000</f>
        <v>1614100</v>
      </c>
      <c r="M33" s="827">
        <f t="shared" si="5"/>
        <v>0</v>
      </c>
      <c r="N33" s="827"/>
      <c r="O33" s="827"/>
      <c r="P33" s="827">
        <v>30284</v>
      </c>
      <c r="Q33" s="827">
        <f>573900+160000+71100</f>
        <v>805000</v>
      </c>
      <c r="R33" s="827">
        <f>573900+160000</f>
        <v>733900</v>
      </c>
      <c r="S33" s="827">
        <v>9300</v>
      </c>
      <c r="T33" s="827">
        <f>745500-50000+50000</f>
        <v>745500</v>
      </c>
      <c r="U33" s="827"/>
      <c r="V33" s="827"/>
      <c r="W33" s="827">
        <f t="shared" si="6"/>
        <v>0</v>
      </c>
      <c r="X33" s="827"/>
      <c r="Y33" s="827"/>
      <c r="Z33" s="827"/>
      <c r="AA33" s="827">
        <f t="shared" si="7"/>
        <v>0</v>
      </c>
      <c r="AB33" s="827"/>
      <c r="AC33" s="827"/>
      <c r="AD33" s="827">
        <f t="shared" si="8"/>
        <v>275360</v>
      </c>
      <c r="AE33" s="827">
        <v>14060</v>
      </c>
      <c r="AF33" s="827">
        <v>115800</v>
      </c>
      <c r="AG33" s="827">
        <v>81500</v>
      </c>
      <c r="AH33" s="827">
        <v>64000</v>
      </c>
      <c r="AI33" s="978">
        <f t="shared" si="18"/>
        <v>261300</v>
      </c>
      <c r="AJ33" s="827"/>
      <c r="AK33" s="827"/>
      <c r="AL33" s="827"/>
      <c r="AM33" s="827"/>
      <c r="AN33" s="827"/>
      <c r="AO33" s="827"/>
      <c r="AP33" s="827"/>
      <c r="AQ33" s="830">
        <f t="shared" si="9"/>
        <v>258978</v>
      </c>
      <c r="AR33" s="830">
        <f>104778+75000+60000</f>
        <v>239778</v>
      </c>
      <c r="AS33" s="827"/>
      <c r="AT33" s="830">
        <v>19200</v>
      </c>
      <c r="AU33" s="830"/>
      <c r="AV33" s="830"/>
      <c r="AW33" s="827"/>
      <c r="AX33" s="827"/>
      <c r="AY33" s="827"/>
      <c r="AZ33" s="827">
        <f t="shared" si="10"/>
        <v>0</v>
      </c>
      <c r="BA33" s="827"/>
      <c r="BB33" s="827"/>
      <c r="BC33" s="827"/>
      <c r="BD33" s="827"/>
      <c r="BE33" s="827">
        <v>157400</v>
      </c>
      <c r="BF33" s="827"/>
      <c r="BG33" s="827"/>
      <c r="BH33" s="830">
        <f t="shared" si="17"/>
        <v>104500</v>
      </c>
      <c r="BI33" s="830">
        <f>9500+55000+10000+10000</f>
        <v>84500</v>
      </c>
      <c r="BJ33" s="830">
        <v>20000</v>
      </c>
      <c r="BK33" s="830"/>
      <c r="BL33" s="830"/>
      <c r="BM33" s="827"/>
      <c r="BN33" s="828"/>
      <c r="BO33" s="827">
        <f t="shared" si="0"/>
        <v>0</v>
      </c>
      <c r="BP33" s="827"/>
      <c r="BQ33" s="827">
        <f>60000-60000</f>
        <v>0</v>
      </c>
      <c r="BR33" s="829">
        <f t="shared" si="11"/>
        <v>127355299.45999999</v>
      </c>
      <c r="BS33" s="758" t="e">
        <f>#REF!</f>
        <v>#REF!</v>
      </c>
      <c r="BT33" s="759" t="e">
        <f t="shared" si="1"/>
        <v>#REF!</v>
      </c>
      <c r="BU33" s="759">
        <f>AQ33-дод5.1!D1386</f>
        <v>0</v>
      </c>
      <c r="BV33" s="758" t="e">
        <f>#REF!</f>
        <v>#REF!</v>
      </c>
      <c r="BW33" s="759" t="e">
        <f t="shared" si="2"/>
        <v>#REF!</v>
      </c>
      <c r="BX33" s="760">
        <f>BH33-дод5.1!E1386</f>
        <v>0</v>
      </c>
      <c r="CA33" s="760" t="b">
        <f t="shared" si="3"/>
        <v>1</v>
      </c>
      <c r="CC33" s="761">
        <f t="shared" si="4"/>
        <v>363478</v>
      </c>
      <c r="CD33" s="501" t="e">
        <f t="shared" si="12"/>
        <v>#REF!</v>
      </c>
    </row>
    <row r="34" spans="1:82">
      <c r="A34" s="755" t="s">
        <v>834</v>
      </c>
      <c r="B34" s="768" t="s">
        <v>103</v>
      </c>
      <c r="C34" s="827">
        <v>5003900</v>
      </c>
      <c r="D34" s="827">
        <v>3853000</v>
      </c>
      <c r="E34" s="827">
        <v>1150900</v>
      </c>
      <c r="F34" s="827">
        <f>15824700-2350400</f>
        <v>13474300</v>
      </c>
      <c r="G34" s="827">
        <f>10581900-1153000</f>
        <v>9428900</v>
      </c>
      <c r="H34" s="827">
        <f>38124600+1449600+291600-5512100-158100</f>
        <v>34195600</v>
      </c>
      <c r="I34" s="827"/>
      <c r="J34" s="827"/>
      <c r="K34" s="827"/>
      <c r="L34" s="827">
        <f>573700-40000-24000</f>
        <v>509700</v>
      </c>
      <c r="M34" s="827">
        <f t="shared" si="5"/>
        <v>0</v>
      </c>
      <c r="N34" s="827"/>
      <c r="O34" s="827"/>
      <c r="P34" s="827"/>
      <c r="Q34" s="827">
        <v>114600</v>
      </c>
      <c r="R34" s="827"/>
      <c r="S34" s="827">
        <v>8600</v>
      </c>
      <c r="T34" s="827">
        <f>287100-287100</f>
        <v>0</v>
      </c>
      <c r="U34" s="827"/>
      <c r="V34" s="827"/>
      <c r="W34" s="827">
        <f t="shared" si="6"/>
        <v>0</v>
      </c>
      <c r="X34" s="827"/>
      <c r="Y34" s="827"/>
      <c r="Z34" s="827"/>
      <c r="AA34" s="827">
        <f t="shared" si="7"/>
        <v>197250</v>
      </c>
      <c r="AB34" s="827">
        <f>44900+39000</f>
        <v>83900</v>
      </c>
      <c r="AC34" s="827">
        <v>113350</v>
      </c>
      <c r="AD34" s="827">
        <f t="shared" si="8"/>
        <v>746550</v>
      </c>
      <c r="AE34" s="827">
        <v>45550</v>
      </c>
      <c r="AF34" s="827">
        <v>310400</v>
      </c>
      <c r="AG34" s="827">
        <v>177400</v>
      </c>
      <c r="AH34" s="827">
        <v>213200</v>
      </c>
      <c r="AI34" s="978">
        <f t="shared" si="18"/>
        <v>701000</v>
      </c>
      <c r="AJ34" s="827"/>
      <c r="AK34" s="827"/>
      <c r="AL34" s="827"/>
      <c r="AM34" s="827"/>
      <c r="AN34" s="827"/>
      <c r="AO34" s="827"/>
      <c r="AP34" s="827"/>
      <c r="AQ34" s="830">
        <f t="shared" si="9"/>
        <v>726405</v>
      </c>
      <c r="AR34" s="830">
        <f>55000+26000+44500-9000+124605+182000</f>
        <v>423105</v>
      </c>
      <c r="AS34" s="827">
        <f>55000+75000</f>
        <v>130000</v>
      </c>
      <c r="AT34" s="830">
        <v>173300</v>
      </c>
      <c r="AU34" s="830"/>
      <c r="AV34" s="830"/>
      <c r="AW34" s="827"/>
      <c r="AX34" s="827"/>
      <c r="AY34" s="827"/>
      <c r="AZ34" s="827">
        <f t="shared" si="10"/>
        <v>0</v>
      </c>
      <c r="BA34" s="827"/>
      <c r="BB34" s="827"/>
      <c r="BC34" s="827"/>
      <c r="BD34" s="827"/>
      <c r="BE34" s="827">
        <v>284300</v>
      </c>
      <c r="BF34" s="827"/>
      <c r="BG34" s="827"/>
      <c r="BH34" s="830">
        <f t="shared" si="17"/>
        <v>515578</v>
      </c>
      <c r="BI34" s="830">
        <f>19000+7800+73778+9000+64000+32000</f>
        <v>205578</v>
      </c>
      <c r="BJ34" s="830">
        <f>200000+30000</f>
        <v>230000</v>
      </c>
      <c r="BK34" s="830"/>
      <c r="BL34" s="830"/>
      <c r="BM34" s="827"/>
      <c r="BN34" s="828"/>
      <c r="BO34" s="827">
        <f t="shared" si="0"/>
        <v>80000</v>
      </c>
      <c r="BP34" s="827">
        <f>40000-20000</f>
        <v>20000</v>
      </c>
      <c r="BQ34" s="827">
        <v>60000</v>
      </c>
      <c r="BR34" s="829">
        <f t="shared" si="11"/>
        <v>65197083</v>
      </c>
      <c r="BS34" s="758" t="e">
        <f>#REF!</f>
        <v>#REF!</v>
      </c>
      <c r="BT34" s="759" t="e">
        <f t="shared" si="1"/>
        <v>#REF!</v>
      </c>
      <c r="BU34" s="759">
        <f>AQ34-дод5.1!D1456</f>
        <v>0</v>
      </c>
      <c r="BV34" s="758" t="e">
        <f>#REF!</f>
        <v>#REF!</v>
      </c>
      <c r="BW34" s="759" t="e">
        <f>BV34-BH34</f>
        <v>#REF!</v>
      </c>
      <c r="BX34" s="760">
        <f>BH34-дод5.1!E1456</f>
        <v>0</v>
      </c>
      <c r="BY34" s="501">
        <f>BX34+BU34</f>
        <v>0</v>
      </c>
      <c r="CA34" s="760" t="b">
        <f t="shared" si="3"/>
        <v>1</v>
      </c>
      <c r="CC34" s="761">
        <f t="shared" si="4"/>
        <v>1241983</v>
      </c>
      <c r="CD34" s="501" t="e">
        <f t="shared" si="12"/>
        <v>#REF!</v>
      </c>
    </row>
    <row r="35" spans="1:82">
      <c r="A35" s="755" t="s">
        <v>835</v>
      </c>
      <c r="B35" s="768" t="s">
        <v>104</v>
      </c>
      <c r="C35" s="827"/>
      <c r="D35" s="827"/>
      <c r="E35" s="827"/>
      <c r="F35" s="827">
        <f>25694600-984200</f>
        <v>24710400</v>
      </c>
      <c r="G35" s="827">
        <f>2432500+73100</f>
        <v>2505600</v>
      </c>
      <c r="H35" s="827">
        <f>16423100+1004700+275700-2413600-70400</f>
        <v>15219500</v>
      </c>
      <c r="I35" s="827"/>
      <c r="J35" s="827"/>
      <c r="K35" s="827"/>
      <c r="L35" s="827"/>
      <c r="M35" s="827">
        <f t="shared" si="5"/>
        <v>0</v>
      </c>
      <c r="N35" s="827"/>
      <c r="O35" s="827"/>
      <c r="P35" s="827"/>
      <c r="Q35" s="827"/>
      <c r="R35" s="827"/>
      <c r="S35" s="827">
        <v>0</v>
      </c>
      <c r="T35" s="827"/>
      <c r="U35" s="827"/>
      <c r="V35" s="827"/>
      <c r="W35" s="827">
        <f t="shared" si="6"/>
        <v>0</v>
      </c>
      <c r="X35" s="827"/>
      <c r="Y35" s="827"/>
      <c r="Z35" s="827"/>
      <c r="AA35" s="827">
        <f t="shared" si="7"/>
        <v>0</v>
      </c>
      <c r="AB35" s="827"/>
      <c r="AC35" s="827"/>
      <c r="AD35" s="827">
        <f t="shared" si="8"/>
        <v>0</v>
      </c>
      <c r="AE35" s="827"/>
      <c r="AF35" s="827"/>
      <c r="AG35" s="827"/>
      <c r="AH35" s="827"/>
      <c r="AI35" s="978">
        <f t="shared" si="18"/>
        <v>0</v>
      </c>
      <c r="AJ35" s="827"/>
      <c r="AK35" s="827"/>
      <c r="AL35" s="827"/>
      <c r="AM35" s="827"/>
      <c r="AN35" s="827"/>
      <c r="AO35" s="827"/>
      <c r="AP35" s="827"/>
      <c r="AQ35" s="830">
        <f t="shared" si="9"/>
        <v>391600</v>
      </c>
      <c r="AR35" s="830"/>
      <c r="AS35" s="827"/>
      <c r="AT35" s="830">
        <v>391600</v>
      </c>
      <c r="AU35" s="830"/>
      <c r="AV35" s="830"/>
      <c r="AW35" s="827"/>
      <c r="AX35" s="827"/>
      <c r="AY35" s="827"/>
      <c r="AZ35" s="827">
        <f t="shared" si="10"/>
        <v>0</v>
      </c>
      <c r="BA35" s="827"/>
      <c r="BB35" s="827"/>
      <c r="BC35" s="827"/>
      <c r="BD35" s="827"/>
      <c r="BE35" s="827">
        <v>214500</v>
      </c>
      <c r="BF35" s="827"/>
      <c r="BG35" s="827"/>
      <c r="BH35" s="830">
        <f t="shared" si="17"/>
        <v>0</v>
      </c>
      <c r="BI35" s="830"/>
      <c r="BJ35" s="830"/>
      <c r="BK35" s="830"/>
      <c r="BL35" s="830"/>
      <c r="BM35" s="827"/>
      <c r="BN35" s="828"/>
      <c r="BO35" s="827">
        <f t="shared" si="0"/>
        <v>0</v>
      </c>
      <c r="BP35" s="827"/>
      <c r="BQ35" s="827"/>
      <c r="BR35" s="829">
        <f t="shared" si="11"/>
        <v>43041600</v>
      </c>
      <c r="BS35" s="758" t="e">
        <f>#REF!</f>
        <v>#REF!</v>
      </c>
      <c r="BT35" s="759" t="e">
        <f t="shared" si="1"/>
        <v>#REF!</v>
      </c>
      <c r="BU35" s="759">
        <f>AQ35-дод5.1!D1534</f>
        <v>0</v>
      </c>
      <c r="BV35" s="758" t="e">
        <f>#REF!</f>
        <v>#REF!</v>
      </c>
      <c r="BW35" s="759" t="e">
        <f t="shared" si="2"/>
        <v>#REF!</v>
      </c>
      <c r="BX35" s="760">
        <f>BH35-дод5.1!E1534</f>
        <v>0</v>
      </c>
      <c r="CA35" s="760" t="b">
        <f t="shared" si="3"/>
        <v>1</v>
      </c>
      <c r="CC35" s="761">
        <f t="shared" si="4"/>
        <v>391600</v>
      </c>
      <c r="CD35" s="501" t="e">
        <f t="shared" si="12"/>
        <v>#REF!</v>
      </c>
    </row>
    <row r="36" spans="1:82">
      <c r="A36" s="755" t="s">
        <v>836</v>
      </c>
      <c r="B36" s="768" t="s">
        <v>453</v>
      </c>
      <c r="C36" s="827">
        <v>9231500</v>
      </c>
      <c r="D36" s="827">
        <v>7108300</v>
      </c>
      <c r="E36" s="827">
        <v>2123200</v>
      </c>
      <c r="F36" s="827">
        <f>61166500-3710900</f>
        <v>57455600</v>
      </c>
      <c r="G36" s="827">
        <f>15275800-1281000</f>
        <v>13994800</v>
      </c>
      <c r="H36" s="827">
        <f>106711700-3239200-209600-14037500-397800</f>
        <v>88827600</v>
      </c>
      <c r="I36" s="827"/>
      <c r="J36" s="827">
        <f>968927.95+619599.25</f>
        <v>1588527.2</v>
      </c>
      <c r="K36" s="827"/>
      <c r="L36" s="827">
        <f>2551400-40000-80000-80000-200000</f>
        <v>2151400</v>
      </c>
      <c r="M36" s="827">
        <f t="shared" si="5"/>
        <v>0</v>
      </c>
      <c r="N36" s="827"/>
      <c r="O36" s="827"/>
      <c r="P36" s="827"/>
      <c r="Q36" s="827">
        <f>224300+173100</f>
        <v>397400</v>
      </c>
      <c r="R36" s="827"/>
      <c r="S36" s="827">
        <v>11500</v>
      </c>
      <c r="T36" s="827">
        <f>793800+100000+80000</f>
        <v>973800</v>
      </c>
      <c r="U36" s="827"/>
      <c r="V36" s="827"/>
      <c r="W36" s="827">
        <f t="shared" si="6"/>
        <v>0</v>
      </c>
      <c r="X36" s="827"/>
      <c r="Y36" s="827"/>
      <c r="Z36" s="827"/>
      <c r="AA36" s="827">
        <f t="shared" si="7"/>
        <v>302000</v>
      </c>
      <c r="AB36" s="827">
        <f>292000+10000</f>
        <v>302000</v>
      </c>
      <c r="AC36" s="827"/>
      <c r="AD36" s="827">
        <f t="shared" si="8"/>
        <v>952390</v>
      </c>
      <c r="AE36" s="827">
        <v>55390</v>
      </c>
      <c r="AF36" s="827">
        <v>375200</v>
      </c>
      <c r="AG36" s="827">
        <v>265900</v>
      </c>
      <c r="AH36" s="827">
        <v>255900</v>
      </c>
      <c r="AI36" s="978">
        <f t="shared" si="18"/>
        <v>897000</v>
      </c>
      <c r="AJ36" s="827"/>
      <c r="AK36" s="827"/>
      <c r="AL36" s="827"/>
      <c r="AM36" s="827"/>
      <c r="AN36" s="827"/>
      <c r="AO36" s="827"/>
      <c r="AP36" s="827"/>
      <c r="AQ36" s="830">
        <f t="shared" si="9"/>
        <v>553246</v>
      </c>
      <c r="AR36" s="830">
        <f>27000+26000+106441+124605</f>
        <v>284046</v>
      </c>
      <c r="AS36" s="827"/>
      <c r="AT36" s="830">
        <v>269200</v>
      </c>
      <c r="AU36" s="830"/>
      <c r="AV36" s="830"/>
      <c r="AW36" s="827"/>
      <c r="AX36" s="827"/>
      <c r="AY36" s="827"/>
      <c r="AZ36" s="827">
        <f t="shared" si="10"/>
        <v>0</v>
      </c>
      <c r="BA36" s="827"/>
      <c r="BB36" s="827"/>
      <c r="BC36" s="827"/>
      <c r="BD36" s="827"/>
      <c r="BE36" s="827">
        <v>303100</v>
      </c>
      <c r="BF36" s="827"/>
      <c r="BG36" s="827"/>
      <c r="BH36" s="830">
        <f t="shared" si="17"/>
        <v>512000</v>
      </c>
      <c r="BI36" s="830">
        <f>73000+169605+94000-124605</f>
        <v>212000</v>
      </c>
      <c r="BJ36" s="830">
        <v>120000</v>
      </c>
      <c r="BK36" s="830">
        <v>180000</v>
      </c>
      <c r="BL36" s="830"/>
      <c r="BM36" s="827"/>
      <c r="BN36" s="828"/>
      <c r="BO36" s="827">
        <f t="shared" si="0"/>
        <v>0</v>
      </c>
      <c r="BP36" s="827"/>
      <c r="BQ36" s="827">
        <f>150000-75000-75000</f>
        <v>0</v>
      </c>
      <c r="BR36" s="829">
        <f t="shared" si="11"/>
        <v>177243363.19999999</v>
      </c>
      <c r="BS36" s="758" t="e">
        <f>#REF!</f>
        <v>#REF!</v>
      </c>
      <c r="BT36" s="759" t="e">
        <f t="shared" si="1"/>
        <v>#REF!</v>
      </c>
      <c r="BU36" s="759">
        <f>AQ36-дод5.1!D1583</f>
        <v>0</v>
      </c>
      <c r="BV36" s="758" t="e">
        <f>#REF!</f>
        <v>#REF!</v>
      </c>
      <c r="BW36" s="759" t="e">
        <f t="shared" si="2"/>
        <v>#REF!</v>
      </c>
      <c r="BX36" s="760">
        <f>BH36-дод5.1!E1583</f>
        <v>0</v>
      </c>
      <c r="BY36" s="501">
        <f>BX36+BU36</f>
        <v>0</v>
      </c>
      <c r="CA36" s="760" t="b">
        <f t="shared" si="3"/>
        <v>1</v>
      </c>
      <c r="CC36" s="761">
        <f t="shared" si="4"/>
        <v>1065246</v>
      </c>
      <c r="CD36" s="501" t="e">
        <f t="shared" si="12"/>
        <v>#REF!</v>
      </c>
    </row>
    <row r="37" spans="1:82">
      <c r="A37" s="755" t="s">
        <v>837</v>
      </c>
      <c r="B37" s="768" t="s">
        <v>454</v>
      </c>
      <c r="C37" s="827">
        <v>5361700</v>
      </c>
      <c r="D37" s="827">
        <f>4128500+416400</f>
        <v>4544900</v>
      </c>
      <c r="E37" s="827">
        <f>1233200-416400</f>
        <v>816800</v>
      </c>
      <c r="F37" s="827">
        <f>100036900-5691400</f>
        <v>94345500</v>
      </c>
      <c r="G37" s="827">
        <f>20776500-80000</f>
        <v>20696500</v>
      </c>
      <c r="H37" s="827">
        <f>106596600-1428100+746700-13566700-425100</f>
        <v>91923400</v>
      </c>
      <c r="I37" s="827"/>
      <c r="J37" s="827"/>
      <c r="K37" s="827"/>
      <c r="L37" s="827">
        <f>431100-50000</f>
        <v>381100</v>
      </c>
      <c r="M37" s="827">
        <f t="shared" si="5"/>
        <v>0</v>
      </c>
      <c r="N37" s="827"/>
      <c r="O37" s="827"/>
      <c r="P37" s="827"/>
      <c r="Q37" s="827">
        <v>107000</v>
      </c>
      <c r="R37" s="827"/>
      <c r="S37" s="827">
        <v>6600</v>
      </c>
      <c r="T37" s="827"/>
      <c r="U37" s="827"/>
      <c r="V37" s="827"/>
      <c r="W37" s="827">
        <f t="shared" si="6"/>
        <v>0</v>
      </c>
      <c r="X37" s="827"/>
      <c r="Y37" s="827"/>
      <c r="Z37" s="827"/>
      <c r="AA37" s="827">
        <f t="shared" si="7"/>
        <v>265800</v>
      </c>
      <c r="AB37" s="827">
        <f>89900-22800-28000</f>
        <v>39100</v>
      </c>
      <c r="AC37" s="827">
        <f>113350+113350</f>
        <v>226700</v>
      </c>
      <c r="AD37" s="827">
        <f t="shared" si="8"/>
        <v>351770</v>
      </c>
      <c r="AE37" s="827">
        <v>22770</v>
      </c>
      <c r="AF37" s="827">
        <v>120500</v>
      </c>
      <c r="AG37" s="827">
        <v>112500</v>
      </c>
      <c r="AH37" s="827">
        <v>96000</v>
      </c>
      <c r="AI37" s="978">
        <f t="shared" si="18"/>
        <v>329000</v>
      </c>
      <c r="AJ37" s="827"/>
      <c r="AK37" s="827"/>
      <c r="AL37" s="827"/>
      <c r="AM37" s="827"/>
      <c r="AN37" s="827"/>
      <c r="AO37" s="827"/>
      <c r="AP37" s="827"/>
      <c r="AQ37" s="830">
        <f t="shared" si="9"/>
        <v>2920178</v>
      </c>
      <c r="AR37" s="830">
        <f>7278+101000+20000</f>
        <v>128278</v>
      </c>
      <c r="AS37" s="827">
        <v>40000</v>
      </c>
      <c r="AT37" s="830">
        <v>2751900</v>
      </c>
      <c r="AU37" s="830"/>
      <c r="AV37" s="830"/>
      <c r="AW37" s="827"/>
      <c r="AX37" s="827"/>
      <c r="AY37" s="827"/>
      <c r="AZ37" s="827">
        <f t="shared" si="10"/>
        <v>0</v>
      </c>
      <c r="BA37" s="827"/>
      <c r="BB37" s="827"/>
      <c r="BC37" s="827"/>
      <c r="BD37" s="827"/>
      <c r="BE37" s="827">
        <f>199000+292025+400000</f>
        <v>891025</v>
      </c>
      <c r="BF37" s="827"/>
      <c r="BG37" s="827"/>
      <c r="BH37" s="830">
        <f t="shared" si="17"/>
        <v>187075</v>
      </c>
      <c r="BI37" s="830">
        <f>10000+97605+16000</f>
        <v>123605</v>
      </c>
      <c r="BJ37" s="830">
        <v>12000</v>
      </c>
      <c r="BK37" s="830"/>
      <c r="BL37" s="830"/>
      <c r="BM37" s="827"/>
      <c r="BN37" s="828"/>
      <c r="BO37" s="827">
        <f t="shared" si="0"/>
        <v>51470</v>
      </c>
      <c r="BP37" s="827"/>
      <c r="BQ37" s="827">
        <f>80000-28530</f>
        <v>51470</v>
      </c>
      <c r="BR37" s="829">
        <f t="shared" si="11"/>
        <v>217431048</v>
      </c>
      <c r="BS37" s="758" t="e">
        <f>#REF!</f>
        <v>#REF!</v>
      </c>
      <c r="BT37" s="759" t="e">
        <f t="shared" si="1"/>
        <v>#REF!</v>
      </c>
      <c r="BU37" s="759">
        <f>AQ37-дод5.1!D1780</f>
        <v>0</v>
      </c>
      <c r="BV37" s="758" t="e">
        <f>#REF!</f>
        <v>#REF!</v>
      </c>
      <c r="BW37" s="759" t="e">
        <f t="shared" si="2"/>
        <v>#REF!</v>
      </c>
      <c r="BX37" s="760">
        <f>BH37-дод5.1!E1780</f>
        <v>0</v>
      </c>
      <c r="BY37" s="501">
        <f>BX37+BU37</f>
        <v>0</v>
      </c>
      <c r="CA37" s="760" t="b">
        <f t="shared" si="3"/>
        <v>1</v>
      </c>
      <c r="CC37" s="761">
        <f t="shared" si="4"/>
        <v>3107253</v>
      </c>
      <c r="CD37" s="501" t="e">
        <f t="shared" si="12"/>
        <v>#REF!</v>
      </c>
    </row>
    <row r="38" spans="1:82">
      <c r="A38" s="755" t="s">
        <v>838</v>
      </c>
      <c r="B38" s="768" t="s">
        <v>455</v>
      </c>
      <c r="C38" s="827">
        <v>887900</v>
      </c>
      <c r="D38" s="827">
        <v>683700</v>
      </c>
      <c r="E38" s="827">
        <v>204200</v>
      </c>
      <c r="F38" s="827">
        <f>37320100-2543500</f>
        <v>34776600</v>
      </c>
      <c r="G38" s="827">
        <f>24523500-989000</f>
        <v>23534500</v>
      </c>
      <c r="H38" s="827">
        <f>130196700+4787200+1910900-18189800-546500</f>
        <v>118158500</v>
      </c>
      <c r="I38" s="827"/>
      <c r="J38" s="827">
        <f>717949.45+897547</f>
        <v>1615496.45</v>
      </c>
      <c r="K38" s="827"/>
      <c r="L38" s="827">
        <f>1751400-80000-80000-200000</f>
        <v>1391400</v>
      </c>
      <c r="M38" s="827">
        <f t="shared" si="5"/>
        <v>0</v>
      </c>
      <c r="N38" s="827"/>
      <c r="O38" s="827"/>
      <c r="P38" s="827"/>
      <c r="Q38" s="827">
        <v>12000</v>
      </c>
      <c r="R38" s="827"/>
      <c r="S38" s="827">
        <v>200</v>
      </c>
      <c r="T38" s="827">
        <f>6900-6900</f>
        <v>0</v>
      </c>
      <c r="U38" s="827"/>
      <c r="V38" s="827"/>
      <c r="W38" s="827">
        <f t="shared" si="6"/>
        <v>0</v>
      </c>
      <c r="X38" s="827"/>
      <c r="Y38" s="827"/>
      <c r="Z38" s="827"/>
      <c r="AA38" s="827">
        <f t="shared" si="7"/>
        <v>67100</v>
      </c>
      <c r="AB38" s="827">
        <v>67100</v>
      </c>
      <c r="AC38" s="827"/>
      <c r="AD38" s="827">
        <f t="shared" si="8"/>
        <v>67120</v>
      </c>
      <c r="AE38" s="827">
        <v>4220</v>
      </c>
      <c r="AF38" s="827">
        <v>23200</v>
      </c>
      <c r="AG38" s="827">
        <v>18400</v>
      </c>
      <c r="AH38" s="827">
        <v>21300</v>
      </c>
      <c r="AI38" s="978">
        <f t="shared" si="18"/>
        <v>62900</v>
      </c>
      <c r="AJ38" s="827"/>
      <c r="AK38" s="827"/>
      <c r="AL38" s="827"/>
      <c r="AM38" s="827"/>
      <c r="AN38" s="827"/>
      <c r="AO38" s="827"/>
      <c r="AP38" s="827"/>
      <c r="AQ38" s="830">
        <f t="shared" si="9"/>
        <v>1849700</v>
      </c>
      <c r="AR38" s="830"/>
      <c r="AS38" s="827"/>
      <c r="AT38" s="830">
        <v>1849700</v>
      </c>
      <c r="AU38" s="830"/>
      <c r="AV38" s="830"/>
      <c r="AW38" s="827"/>
      <c r="AX38" s="827"/>
      <c r="AY38" s="827"/>
      <c r="AZ38" s="827">
        <f t="shared" si="10"/>
        <v>0</v>
      </c>
      <c r="BA38" s="827"/>
      <c r="BB38" s="827"/>
      <c r="BC38" s="827"/>
      <c r="BD38" s="827"/>
      <c r="BE38" s="827">
        <v>210300</v>
      </c>
      <c r="BF38" s="827"/>
      <c r="BG38" s="827"/>
      <c r="BH38" s="830">
        <f t="shared" si="17"/>
        <v>0</v>
      </c>
      <c r="BI38" s="830"/>
      <c r="BJ38" s="830"/>
      <c r="BK38" s="830"/>
      <c r="BL38" s="830"/>
      <c r="BM38" s="827"/>
      <c r="BN38" s="828"/>
      <c r="BO38" s="827">
        <f t="shared" si="0"/>
        <v>0</v>
      </c>
      <c r="BP38" s="827"/>
      <c r="BQ38" s="827"/>
      <c r="BR38" s="829">
        <f t="shared" si="11"/>
        <v>182570616.44999999</v>
      </c>
      <c r="BS38" s="758" t="e">
        <f>#REF!</f>
        <v>#REF!</v>
      </c>
      <c r="BT38" s="759" t="e">
        <f t="shared" si="1"/>
        <v>#REF!</v>
      </c>
      <c r="BU38" s="759">
        <f>AQ38-дод5.1!D1875</f>
        <v>0</v>
      </c>
      <c r="BV38" s="758" t="e">
        <f>#REF!</f>
        <v>#REF!</v>
      </c>
      <c r="BW38" s="759" t="e">
        <f t="shared" si="2"/>
        <v>#REF!</v>
      </c>
      <c r="BX38" s="760">
        <f>BH38-дод5.1!E1875</f>
        <v>0</v>
      </c>
      <c r="BY38" s="501">
        <f>BX38+BU38</f>
        <v>0</v>
      </c>
      <c r="CA38" s="760" t="b">
        <f t="shared" si="3"/>
        <v>1</v>
      </c>
      <c r="CC38" s="761">
        <f t="shared" si="4"/>
        <v>1849700</v>
      </c>
      <c r="CD38" s="501" t="e">
        <f t="shared" si="12"/>
        <v>#REF!</v>
      </c>
    </row>
    <row r="39" spans="1:82">
      <c r="A39" s="769" t="s">
        <v>839</v>
      </c>
      <c r="B39" s="768" t="s">
        <v>456</v>
      </c>
      <c r="C39" s="827">
        <v>1406900</v>
      </c>
      <c r="D39" s="827">
        <v>1083300</v>
      </c>
      <c r="E39" s="827">
        <v>323600</v>
      </c>
      <c r="F39" s="827">
        <f>108457600-4107700</f>
        <v>104349900</v>
      </c>
      <c r="G39" s="827">
        <f>1689600+70600</f>
        <v>1760200</v>
      </c>
      <c r="H39" s="827">
        <f>46666900+999500-947700-5441400-190000</f>
        <v>41087300</v>
      </c>
      <c r="I39" s="827"/>
      <c r="J39" s="827"/>
      <c r="K39" s="827"/>
      <c r="L39" s="827">
        <f>682400-30000</f>
        <v>652400</v>
      </c>
      <c r="M39" s="827">
        <f t="shared" si="5"/>
        <v>0</v>
      </c>
      <c r="N39" s="827"/>
      <c r="O39" s="827"/>
      <c r="P39" s="827"/>
      <c r="Q39" s="827">
        <f>531600+79000+28500</f>
        <v>639100</v>
      </c>
      <c r="R39" s="827">
        <f>531600+79000</f>
        <v>610600</v>
      </c>
      <c r="S39" s="827">
        <v>1200</v>
      </c>
      <c r="T39" s="827">
        <f>685200-685200</f>
        <v>0</v>
      </c>
      <c r="U39" s="827"/>
      <c r="V39" s="827"/>
      <c r="W39" s="827">
        <f t="shared" si="6"/>
        <v>0</v>
      </c>
      <c r="X39" s="827"/>
      <c r="Y39" s="827"/>
      <c r="Z39" s="827"/>
      <c r="AA39" s="827">
        <f t="shared" si="7"/>
        <v>0</v>
      </c>
      <c r="AB39" s="827"/>
      <c r="AC39" s="827"/>
      <c r="AD39" s="827">
        <f t="shared" si="8"/>
        <v>168660</v>
      </c>
      <c r="AE39" s="827">
        <v>9560</v>
      </c>
      <c r="AF39" s="827">
        <v>69500</v>
      </c>
      <c r="AG39" s="827">
        <v>36300</v>
      </c>
      <c r="AH39" s="827">
        <v>53300</v>
      </c>
      <c r="AI39" s="978">
        <f t="shared" si="18"/>
        <v>159100</v>
      </c>
      <c r="AJ39" s="827"/>
      <c r="AK39" s="827"/>
      <c r="AL39" s="827">
        <v>1400</v>
      </c>
      <c r="AM39" s="827">
        <v>1400</v>
      </c>
      <c r="AN39" s="827"/>
      <c r="AO39" s="827"/>
      <c r="AP39" s="827"/>
      <c r="AQ39" s="830">
        <f t="shared" si="9"/>
        <v>374841</v>
      </c>
      <c r="AR39" s="830">
        <f>95000+15000+70000+102941</f>
        <v>282941</v>
      </c>
      <c r="AS39" s="827">
        <v>10000</v>
      </c>
      <c r="AT39" s="830">
        <v>81900</v>
      </c>
      <c r="AU39" s="830"/>
      <c r="AV39" s="830"/>
      <c r="AW39" s="827"/>
      <c r="AX39" s="827"/>
      <c r="AY39" s="827"/>
      <c r="AZ39" s="827">
        <f t="shared" si="10"/>
        <v>0</v>
      </c>
      <c r="BA39" s="827"/>
      <c r="BB39" s="827"/>
      <c r="BC39" s="827"/>
      <c r="BD39" s="827"/>
      <c r="BE39" s="827">
        <v>203500</v>
      </c>
      <c r="BF39" s="827"/>
      <c r="BG39" s="827"/>
      <c r="BH39" s="830">
        <f t="shared" si="17"/>
        <v>667500</v>
      </c>
      <c r="BI39" s="830">
        <f>10000+16000+41500</f>
        <v>67500</v>
      </c>
      <c r="BJ39" s="830">
        <v>600000</v>
      </c>
      <c r="BK39" s="830"/>
      <c r="BL39" s="830"/>
      <c r="BM39" s="827"/>
      <c r="BN39" s="828"/>
      <c r="BO39" s="827">
        <f t="shared" si="0"/>
        <v>0</v>
      </c>
      <c r="BP39" s="827"/>
      <c r="BQ39" s="827"/>
      <c r="BR39" s="829">
        <f t="shared" si="11"/>
        <v>151311701</v>
      </c>
      <c r="BS39" s="758" t="e">
        <f>#REF!</f>
        <v>#REF!</v>
      </c>
      <c r="BT39" s="759" t="e">
        <f t="shared" si="1"/>
        <v>#REF!</v>
      </c>
      <c r="BU39" s="759">
        <f>AQ39-дод5.1!D1969</f>
        <v>0</v>
      </c>
      <c r="BV39" s="758" t="e">
        <f>#REF!</f>
        <v>#REF!</v>
      </c>
      <c r="BW39" s="759" t="e">
        <f t="shared" si="2"/>
        <v>#REF!</v>
      </c>
      <c r="BX39" s="760">
        <f>BH39-дод5.1!E1969</f>
        <v>0</v>
      </c>
      <c r="BY39" s="501">
        <f>BX39+BU39</f>
        <v>0</v>
      </c>
      <c r="CA39" s="760" t="b">
        <f t="shared" si="3"/>
        <v>1</v>
      </c>
      <c r="CC39" s="761">
        <f t="shared" si="4"/>
        <v>1042341</v>
      </c>
      <c r="CD39" s="501" t="e">
        <f t="shared" si="12"/>
        <v>#REF!</v>
      </c>
    </row>
    <row r="40" spans="1:82">
      <c r="A40" s="755" t="s">
        <v>840</v>
      </c>
      <c r="B40" s="768" t="s">
        <v>457</v>
      </c>
      <c r="C40" s="827">
        <v>2303200</v>
      </c>
      <c r="D40" s="827">
        <v>1773500</v>
      </c>
      <c r="E40" s="827">
        <v>529700</v>
      </c>
      <c r="F40" s="827">
        <f>68341800-2572800</f>
        <v>65769000</v>
      </c>
      <c r="G40" s="827">
        <f>10740900-811000</f>
        <v>9929900</v>
      </c>
      <c r="H40" s="827">
        <f>62586000-970100-709700-7181100-247300</f>
        <v>53477800</v>
      </c>
      <c r="I40" s="827"/>
      <c r="J40" s="827"/>
      <c r="K40" s="827"/>
      <c r="L40" s="827">
        <f>1092500-50000</f>
        <v>1042500</v>
      </c>
      <c r="M40" s="827">
        <f t="shared" si="5"/>
        <v>0</v>
      </c>
      <c r="N40" s="827"/>
      <c r="O40" s="827"/>
      <c r="P40" s="827"/>
      <c r="Q40" s="827">
        <v>49700</v>
      </c>
      <c r="R40" s="827"/>
      <c r="S40" s="827">
        <v>4700</v>
      </c>
      <c r="T40" s="827">
        <f>126000-126000</f>
        <v>0</v>
      </c>
      <c r="U40" s="827"/>
      <c r="V40" s="827"/>
      <c r="W40" s="827">
        <f t="shared" si="6"/>
        <v>0</v>
      </c>
      <c r="X40" s="827"/>
      <c r="Y40" s="827"/>
      <c r="Z40" s="827"/>
      <c r="AA40" s="827">
        <f t="shared" si="7"/>
        <v>0</v>
      </c>
      <c r="AB40" s="827"/>
      <c r="AC40" s="827"/>
      <c r="AD40" s="827">
        <f t="shared" si="8"/>
        <v>201060</v>
      </c>
      <c r="AE40" s="827">
        <v>10960</v>
      </c>
      <c r="AF40" s="827">
        <v>83400</v>
      </c>
      <c r="AG40" s="827">
        <v>64100</v>
      </c>
      <c r="AH40" s="827">
        <v>42600</v>
      </c>
      <c r="AI40" s="978">
        <f t="shared" si="18"/>
        <v>190100</v>
      </c>
      <c r="AJ40" s="827"/>
      <c r="AK40" s="827"/>
      <c r="AL40" s="827"/>
      <c r="AM40" s="827"/>
      <c r="AN40" s="827"/>
      <c r="AO40" s="827"/>
      <c r="AP40" s="827"/>
      <c r="AQ40" s="830">
        <f t="shared" si="9"/>
        <v>87900</v>
      </c>
      <c r="AR40" s="830"/>
      <c r="AS40" s="827"/>
      <c r="AT40" s="830">
        <v>87900</v>
      </c>
      <c r="AU40" s="830"/>
      <c r="AV40" s="830"/>
      <c r="AW40" s="827"/>
      <c r="AX40" s="827"/>
      <c r="AY40" s="827"/>
      <c r="AZ40" s="827">
        <f t="shared" si="10"/>
        <v>0</v>
      </c>
      <c r="BA40" s="827"/>
      <c r="BB40" s="827"/>
      <c r="BC40" s="827"/>
      <c r="BD40" s="827"/>
      <c r="BE40" s="827">
        <v>249500</v>
      </c>
      <c r="BF40" s="827"/>
      <c r="BG40" s="827"/>
      <c r="BH40" s="830">
        <f t="shared" si="17"/>
        <v>0</v>
      </c>
      <c r="BI40" s="830"/>
      <c r="BJ40" s="830"/>
      <c r="BK40" s="830"/>
      <c r="BL40" s="830"/>
      <c r="BM40" s="827"/>
      <c r="BN40" s="828"/>
      <c r="BO40" s="827">
        <f t="shared" si="0"/>
        <v>0</v>
      </c>
      <c r="BP40" s="827"/>
      <c r="BQ40" s="827">
        <f>200000-200000</f>
        <v>0</v>
      </c>
      <c r="BR40" s="829">
        <f t="shared" si="11"/>
        <v>133110560</v>
      </c>
      <c r="BS40" s="758" t="e">
        <f>#REF!</f>
        <v>#REF!</v>
      </c>
      <c r="BT40" s="759" t="e">
        <f t="shared" si="1"/>
        <v>#REF!</v>
      </c>
      <c r="BU40" s="759">
        <f>AQ40-дод5.1!D2046</f>
        <v>0</v>
      </c>
      <c r="BV40" s="758" t="e">
        <f>#REF!</f>
        <v>#REF!</v>
      </c>
      <c r="BW40" s="759" t="e">
        <f t="shared" si="2"/>
        <v>#REF!</v>
      </c>
      <c r="BX40" s="760">
        <f>BH40-дод5.1!E2046</f>
        <v>0</v>
      </c>
      <c r="BY40" s="501">
        <f>BU40</f>
        <v>0</v>
      </c>
      <c r="CA40" s="760" t="b">
        <f t="shared" si="3"/>
        <v>1</v>
      </c>
      <c r="CC40" s="761">
        <f t="shared" si="4"/>
        <v>87900</v>
      </c>
      <c r="CD40" s="501" t="e">
        <f t="shared" si="12"/>
        <v>#REF!</v>
      </c>
    </row>
    <row r="41" spans="1:82">
      <c r="A41" s="755" t="s">
        <v>841</v>
      </c>
      <c r="B41" s="768" t="s">
        <v>458</v>
      </c>
      <c r="C41" s="827">
        <v>9782600</v>
      </c>
      <c r="D41" s="827">
        <v>7532600</v>
      </c>
      <c r="E41" s="827">
        <v>2250000</v>
      </c>
      <c r="F41" s="827">
        <f>90129600-3153300</f>
        <v>86976300</v>
      </c>
      <c r="G41" s="827">
        <f>1762500+49300</f>
        <v>1811800</v>
      </c>
      <c r="H41" s="827">
        <f>42337100-919300-352400-5589200-152800</f>
        <v>35323400</v>
      </c>
      <c r="I41" s="827"/>
      <c r="J41" s="827">
        <f>999242.36</f>
        <v>999242.36</v>
      </c>
      <c r="K41" s="827"/>
      <c r="L41" s="827">
        <f>1019600+650000+30000</f>
        <v>1699600</v>
      </c>
      <c r="M41" s="827">
        <f t="shared" si="5"/>
        <v>0</v>
      </c>
      <c r="N41" s="827"/>
      <c r="O41" s="827"/>
      <c r="P41" s="827">
        <v>100577</v>
      </c>
      <c r="Q41" s="827">
        <f>616100+110000+251000</f>
        <v>977100</v>
      </c>
      <c r="R41" s="827">
        <f>616100+110000</f>
        <v>726100</v>
      </c>
      <c r="S41" s="827">
        <v>41600</v>
      </c>
      <c r="T41" s="827">
        <f>527900+50000+30000</f>
        <v>607900</v>
      </c>
      <c r="U41" s="827"/>
      <c r="V41" s="827"/>
      <c r="W41" s="827">
        <f t="shared" si="6"/>
        <v>0</v>
      </c>
      <c r="X41" s="827"/>
      <c r="Y41" s="827"/>
      <c r="Z41" s="827"/>
      <c r="AA41" s="827">
        <f t="shared" si="7"/>
        <v>284550</v>
      </c>
      <c r="AB41" s="827">
        <f>336900-18100-147600</f>
        <v>171200</v>
      </c>
      <c r="AC41" s="827">
        <v>113350</v>
      </c>
      <c r="AD41" s="827">
        <f t="shared" si="8"/>
        <v>967030</v>
      </c>
      <c r="AE41" s="827">
        <v>56230</v>
      </c>
      <c r="AF41" s="827">
        <v>393800</v>
      </c>
      <c r="AG41" s="827">
        <v>261100</v>
      </c>
      <c r="AH41" s="827">
        <v>255900</v>
      </c>
      <c r="AI41" s="978">
        <f t="shared" si="18"/>
        <v>910800</v>
      </c>
      <c r="AJ41" s="827"/>
      <c r="AK41" s="827"/>
      <c r="AL41" s="827">
        <v>315700</v>
      </c>
      <c r="AM41" s="827">
        <v>1600</v>
      </c>
      <c r="AN41" s="827"/>
      <c r="AO41" s="827"/>
      <c r="AP41" s="827"/>
      <c r="AQ41" s="830">
        <f t="shared" si="9"/>
        <v>877002</v>
      </c>
      <c r="AR41" s="830">
        <f>143778+244810+184483+53531+4000</f>
        <v>630602</v>
      </c>
      <c r="AS41" s="827">
        <f>50000+50000+120000</f>
        <v>220000</v>
      </c>
      <c r="AT41" s="830">
        <v>26400</v>
      </c>
      <c r="AU41" s="830"/>
      <c r="AV41" s="830"/>
      <c r="AW41" s="827"/>
      <c r="AX41" s="827"/>
      <c r="AY41" s="827"/>
      <c r="AZ41" s="827">
        <f t="shared" si="10"/>
        <v>0</v>
      </c>
      <c r="BA41" s="827"/>
      <c r="BB41" s="827"/>
      <c r="BC41" s="827"/>
      <c r="BD41" s="827"/>
      <c r="BE41" s="827">
        <v>161100</v>
      </c>
      <c r="BF41" s="827"/>
      <c r="BG41" s="827"/>
      <c r="BH41" s="830">
        <f t="shared" si="17"/>
        <v>585768</v>
      </c>
      <c r="BI41" s="830">
        <f>10000+102500+246278+151400-16278-55000+90399-53531+10000</f>
        <v>485768</v>
      </c>
      <c r="BJ41" s="830">
        <f>100000</f>
        <v>100000</v>
      </c>
      <c r="BK41" s="830"/>
      <c r="BL41" s="830"/>
      <c r="BM41" s="827"/>
      <c r="BN41" s="828"/>
      <c r="BO41" s="827">
        <f t="shared" si="0"/>
        <v>0</v>
      </c>
      <c r="BP41" s="827"/>
      <c r="BQ41" s="827"/>
      <c r="BR41" s="829">
        <f t="shared" si="11"/>
        <v>141469669.36000001</v>
      </c>
      <c r="BS41" s="758" t="e">
        <f>#REF!</f>
        <v>#REF!</v>
      </c>
      <c r="BT41" s="759" t="e">
        <f t="shared" si="1"/>
        <v>#REF!</v>
      </c>
      <c r="BU41" s="759">
        <f>AQ41-дод5.1!D2132</f>
        <v>0</v>
      </c>
      <c r="BV41" s="758" t="e">
        <f>#REF!</f>
        <v>#REF!</v>
      </c>
      <c r="BW41" s="759" t="e">
        <f t="shared" si="2"/>
        <v>#REF!</v>
      </c>
      <c r="BX41" s="760">
        <f>BH41-дод5.1!E2132</f>
        <v>0</v>
      </c>
      <c r="CA41" s="760" t="b">
        <f t="shared" si="3"/>
        <v>1</v>
      </c>
      <c r="CC41" s="761">
        <f t="shared" si="4"/>
        <v>1462770</v>
      </c>
      <c r="CD41" s="501" t="e">
        <f t="shared" si="12"/>
        <v>#REF!</v>
      </c>
    </row>
    <row r="42" spans="1:82">
      <c r="A42" s="755" t="s">
        <v>842</v>
      </c>
      <c r="B42" s="768" t="s">
        <v>270</v>
      </c>
      <c r="C42" s="827">
        <v>85300</v>
      </c>
      <c r="D42" s="827">
        <v>65700</v>
      </c>
      <c r="E42" s="827">
        <v>19600</v>
      </c>
      <c r="F42" s="827">
        <f>24079400-1697200</f>
        <v>22382200</v>
      </c>
      <c r="G42" s="827">
        <f>9964400-928000</f>
        <v>9036400</v>
      </c>
      <c r="H42" s="827">
        <f>54447600-457300+149500-7037300-205500</f>
        <v>46897000</v>
      </c>
      <c r="I42" s="827"/>
      <c r="J42" s="827"/>
      <c r="K42" s="827">
        <v>589544</v>
      </c>
      <c r="L42" s="827">
        <f>1910000+80000</f>
        <v>1990000</v>
      </c>
      <c r="M42" s="827">
        <f t="shared" si="5"/>
        <v>0</v>
      </c>
      <c r="N42" s="827"/>
      <c r="O42" s="827"/>
      <c r="P42" s="827">
        <v>23295</v>
      </c>
      <c r="Q42" s="827">
        <f>250000+367500+2600</f>
        <v>620100</v>
      </c>
      <c r="R42" s="827">
        <f>250000</f>
        <v>250000</v>
      </c>
      <c r="S42" s="827">
        <v>0</v>
      </c>
      <c r="T42" s="827">
        <f>453900-50000+50000+50000</f>
        <v>503900</v>
      </c>
      <c r="U42" s="827"/>
      <c r="V42" s="827"/>
      <c r="W42" s="827">
        <f t="shared" si="6"/>
        <v>0</v>
      </c>
      <c r="X42" s="827"/>
      <c r="Y42" s="827"/>
      <c r="Z42" s="827"/>
      <c r="AA42" s="827">
        <f t="shared" si="7"/>
        <v>0</v>
      </c>
      <c r="AB42" s="827"/>
      <c r="AC42" s="827"/>
      <c r="AD42" s="827">
        <f t="shared" si="8"/>
        <v>0</v>
      </c>
      <c r="AE42" s="827"/>
      <c r="AF42" s="827"/>
      <c r="AG42" s="827"/>
      <c r="AH42" s="827"/>
      <c r="AI42" s="978">
        <f t="shared" si="18"/>
        <v>0</v>
      </c>
      <c r="AJ42" s="827"/>
      <c r="AK42" s="827"/>
      <c r="AL42" s="827"/>
      <c r="AM42" s="827"/>
      <c r="AN42" s="827"/>
      <c r="AO42" s="827"/>
      <c r="AP42" s="827"/>
      <c r="AQ42" s="830">
        <f t="shared" si="9"/>
        <v>225400</v>
      </c>
      <c r="AR42" s="830">
        <f>45000+35000+20000</f>
        <v>100000</v>
      </c>
      <c r="AS42" s="827">
        <f>65000+50000</f>
        <v>115000</v>
      </c>
      <c r="AT42" s="830">
        <v>10400</v>
      </c>
      <c r="AU42" s="830"/>
      <c r="AV42" s="830"/>
      <c r="AW42" s="827"/>
      <c r="AX42" s="827"/>
      <c r="AY42" s="827"/>
      <c r="AZ42" s="827">
        <f t="shared" si="10"/>
        <v>0</v>
      </c>
      <c r="BA42" s="827"/>
      <c r="BB42" s="827"/>
      <c r="BC42" s="827"/>
      <c r="BD42" s="827"/>
      <c r="BE42" s="827">
        <v>173800</v>
      </c>
      <c r="BF42" s="827"/>
      <c r="BG42" s="827"/>
      <c r="BH42" s="830">
        <f t="shared" si="17"/>
        <v>174000</v>
      </c>
      <c r="BI42" s="830">
        <f>20000+20000+25000+20000</f>
        <v>85000</v>
      </c>
      <c r="BJ42" s="830">
        <v>89000</v>
      </c>
      <c r="BK42" s="830"/>
      <c r="BL42" s="830"/>
      <c r="BM42" s="827"/>
      <c r="BN42" s="828"/>
      <c r="BO42" s="827">
        <f t="shared" si="0"/>
        <v>0</v>
      </c>
      <c r="BP42" s="827"/>
      <c r="BQ42" s="827"/>
      <c r="BR42" s="829">
        <f t="shared" si="11"/>
        <v>82700939</v>
      </c>
      <c r="BS42" s="758" t="e">
        <f>#REF!</f>
        <v>#REF!</v>
      </c>
      <c r="BT42" s="759" t="e">
        <f t="shared" si="1"/>
        <v>#REF!</v>
      </c>
      <c r="BU42" s="759">
        <f>AQ42-дод5.1!D2211</f>
        <v>0</v>
      </c>
      <c r="BV42" s="758" t="e">
        <f>#REF!</f>
        <v>#REF!</v>
      </c>
      <c r="BW42" s="759" t="e">
        <f t="shared" si="2"/>
        <v>#REF!</v>
      </c>
      <c r="BX42" s="760">
        <f>BH42-дод5.1!E2211</f>
        <v>0</v>
      </c>
      <c r="BY42" s="501">
        <f>BX42+BU42</f>
        <v>0</v>
      </c>
      <c r="CA42" s="760" t="b">
        <f t="shared" si="3"/>
        <v>1</v>
      </c>
      <c r="CC42" s="761">
        <f t="shared" si="4"/>
        <v>399400</v>
      </c>
      <c r="CD42" s="501" t="e">
        <f t="shared" si="12"/>
        <v>#REF!</v>
      </c>
    </row>
    <row r="43" spans="1:82">
      <c r="A43" s="755" t="s">
        <v>843</v>
      </c>
      <c r="B43" s="768" t="s">
        <v>459</v>
      </c>
      <c r="C43" s="827">
        <v>7909300</v>
      </c>
      <c r="D43" s="827">
        <v>6090200</v>
      </c>
      <c r="E43" s="827">
        <v>1819100</v>
      </c>
      <c r="F43" s="827">
        <f>36858900-2884600</f>
        <v>33974300</v>
      </c>
      <c r="G43" s="827">
        <f>12192200-1053000</f>
        <v>11139200</v>
      </c>
      <c r="H43" s="827">
        <f>67479400-917400-500000-8350300-264300</f>
        <v>57447400</v>
      </c>
      <c r="I43" s="827"/>
      <c r="J43" s="827">
        <f>577044+755369</f>
        <v>1332413</v>
      </c>
      <c r="K43" s="827">
        <v>577044</v>
      </c>
      <c r="L43" s="827">
        <f>1528100-690000-50000-50000</f>
        <v>738100</v>
      </c>
      <c r="M43" s="827">
        <f t="shared" si="5"/>
        <v>0</v>
      </c>
      <c r="N43" s="827"/>
      <c r="O43" s="827"/>
      <c r="P43" s="827">
        <v>34942</v>
      </c>
      <c r="Q43" s="827">
        <f>482300+45000+166000</f>
        <v>693300</v>
      </c>
      <c r="R43" s="827">
        <f>482300+45000</f>
        <v>527300</v>
      </c>
      <c r="S43" s="827">
        <v>9900</v>
      </c>
      <c r="T43" s="827">
        <f>506900+150000-50000+20000</f>
        <v>626900</v>
      </c>
      <c r="U43" s="827"/>
      <c r="V43" s="827"/>
      <c r="W43" s="827">
        <f t="shared" si="6"/>
        <v>0</v>
      </c>
      <c r="X43" s="827"/>
      <c r="Y43" s="827"/>
      <c r="Z43" s="827"/>
      <c r="AA43" s="827">
        <f t="shared" si="7"/>
        <v>322320</v>
      </c>
      <c r="AB43" s="827">
        <f>202200+32700-25930</f>
        <v>208970</v>
      </c>
      <c r="AC43" s="827">
        <v>113350</v>
      </c>
      <c r="AD43" s="827">
        <f t="shared" si="8"/>
        <v>693130</v>
      </c>
      <c r="AE43" s="827">
        <v>32330</v>
      </c>
      <c r="AF43" s="827">
        <v>264100</v>
      </c>
      <c r="AG43" s="827">
        <v>247400</v>
      </c>
      <c r="AH43" s="827">
        <v>149300</v>
      </c>
      <c r="AI43" s="978">
        <f t="shared" si="18"/>
        <v>660800</v>
      </c>
      <c r="AJ43" s="827"/>
      <c r="AK43" s="827"/>
      <c r="AL43" s="827"/>
      <c r="AM43" s="827"/>
      <c r="AN43" s="827"/>
      <c r="AO43" s="827"/>
      <c r="AP43" s="827">
        <v>318687.59999999998</v>
      </c>
      <c r="AQ43" s="830">
        <f t="shared" si="9"/>
        <v>1411265</v>
      </c>
      <c r="AR43" s="830">
        <f>98164+169393+159570+30000+82695+304370+269066</f>
        <v>1113258</v>
      </c>
      <c r="AS43" s="827">
        <f>203759+75748</f>
        <v>279507</v>
      </c>
      <c r="AT43" s="830">
        <v>18500</v>
      </c>
      <c r="AU43" s="830"/>
      <c r="AV43" s="830"/>
      <c r="AW43" s="827"/>
      <c r="AX43" s="827"/>
      <c r="AY43" s="827"/>
      <c r="AZ43" s="827">
        <f t="shared" si="10"/>
        <v>0</v>
      </c>
      <c r="BA43" s="827"/>
      <c r="BB43" s="827"/>
      <c r="BC43" s="827"/>
      <c r="BD43" s="827"/>
      <c r="BE43" s="827">
        <v>183400</v>
      </c>
      <c r="BF43" s="827"/>
      <c r="BG43" s="827">
        <v>500000</v>
      </c>
      <c r="BH43" s="830">
        <f t="shared" si="17"/>
        <v>1995607</v>
      </c>
      <c r="BI43" s="830">
        <f>148109+56685+45600+40000+153440+105046+5934</f>
        <v>554814</v>
      </c>
      <c r="BJ43" s="830">
        <f>596200+600341+64252</f>
        <v>1260793</v>
      </c>
      <c r="BK43" s="830">
        <v>180000</v>
      </c>
      <c r="BL43" s="830"/>
      <c r="BM43" s="827"/>
      <c r="BN43" s="828"/>
      <c r="BO43" s="827">
        <f t="shared" si="0"/>
        <v>0</v>
      </c>
      <c r="BP43" s="827"/>
      <c r="BQ43" s="827"/>
      <c r="BR43" s="829">
        <f t="shared" si="11"/>
        <v>119897308.59999999</v>
      </c>
      <c r="BS43" s="758" t="e">
        <f>#REF!</f>
        <v>#REF!</v>
      </c>
      <c r="BT43" s="759" t="e">
        <f t="shared" si="1"/>
        <v>#REF!</v>
      </c>
      <c r="BU43" s="759">
        <f>AQ43-дод5.1!D2352</f>
        <v>0</v>
      </c>
      <c r="BV43" s="758" t="e">
        <f>#REF!</f>
        <v>#REF!</v>
      </c>
      <c r="BW43" s="759" t="e">
        <f t="shared" si="2"/>
        <v>#REF!</v>
      </c>
      <c r="BX43" s="760">
        <f>BH43-дод5.1!E2352</f>
        <v>0</v>
      </c>
      <c r="BY43" s="501">
        <f>BX43+BU43</f>
        <v>0</v>
      </c>
      <c r="CA43" s="760" t="b">
        <f t="shared" si="3"/>
        <v>1</v>
      </c>
      <c r="CC43" s="761">
        <f t="shared" si="4"/>
        <v>3406872</v>
      </c>
      <c r="CD43" s="501" t="e">
        <f t="shared" si="12"/>
        <v>#REF!</v>
      </c>
    </row>
    <row r="44" spans="1:82">
      <c r="A44" s="755" t="s">
        <v>844</v>
      </c>
      <c r="B44" s="768" t="s">
        <v>460</v>
      </c>
      <c r="C44" s="827">
        <v>11204800</v>
      </c>
      <c r="D44" s="827">
        <v>8627700</v>
      </c>
      <c r="E44" s="827">
        <v>2577100</v>
      </c>
      <c r="F44" s="827">
        <f>86232900-5259200</f>
        <v>80973700</v>
      </c>
      <c r="G44" s="827">
        <f>4824400-810000</f>
        <v>4014400</v>
      </c>
      <c r="H44" s="827">
        <f>54939700-713200+84800-7789200-214200</f>
        <v>46307900</v>
      </c>
      <c r="I44" s="827"/>
      <c r="J44" s="827">
        <v>1113681.67</v>
      </c>
      <c r="K44" s="827"/>
      <c r="L44" s="827">
        <v>810800</v>
      </c>
      <c r="M44" s="827">
        <f t="shared" si="5"/>
        <v>0</v>
      </c>
      <c r="N44" s="827"/>
      <c r="O44" s="827"/>
      <c r="P44" s="827"/>
      <c r="Q44" s="827">
        <f>700600+110000+268300</f>
        <v>1078900</v>
      </c>
      <c r="R44" s="827">
        <f>700600+110000</f>
        <v>810600</v>
      </c>
      <c r="S44" s="827">
        <v>27300</v>
      </c>
      <c r="T44" s="827">
        <f>1215800-50000+230000</f>
        <v>1395800</v>
      </c>
      <c r="U44" s="827"/>
      <c r="V44" s="827"/>
      <c r="W44" s="827">
        <f t="shared" si="6"/>
        <v>0</v>
      </c>
      <c r="X44" s="827"/>
      <c r="Y44" s="827"/>
      <c r="Z44" s="827"/>
      <c r="AA44" s="827">
        <f t="shared" si="7"/>
        <v>214050</v>
      </c>
      <c r="AB44" s="827">
        <f>157200-56500</f>
        <v>100700</v>
      </c>
      <c r="AC44" s="827">
        <v>113350</v>
      </c>
      <c r="AD44" s="827">
        <f t="shared" si="8"/>
        <v>979410</v>
      </c>
      <c r="AE44" s="827">
        <v>52010</v>
      </c>
      <c r="AF44" s="827">
        <v>375200</v>
      </c>
      <c r="AG44" s="827">
        <v>307000</v>
      </c>
      <c r="AH44" s="827">
        <v>245200</v>
      </c>
      <c r="AI44" s="978">
        <f t="shared" si="18"/>
        <v>927400</v>
      </c>
      <c r="AJ44" s="827"/>
      <c r="AK44" s="827"/>
      <c r="AL44" s="827">
        <v>830500</v>
      </c>
      <c r="AM44" s="827">
        <v>2100</v>
      </c>
      <c r="AN44" s="827"/>
      <c r="AO44" s="827"/>
      <c r="AP44" s="827"/>
      <c r="AQ44" s="830">
        <f t="shared" si="9"/>
        <v>464502</v>
      </c>
      <c r="AR44" s="830">
        <f>113330+6278+5800+6500+105605+110589+20000</f>
        <v>368102</v>
      </c>
      <c r="AS44" s="827">
        <f>30000+40000</f>
        <v>70000</v>
      </c>
      <c r="AT44" s="830">
        <v>26400</v>
      </c>
      <c r="AU44" s="830"/>
      <c r="AV44" s="830"/>
      <c r="AW44" s="827"/>
      <c r="AX44" s="827"/>
      <c r="AY44" s="827"/>
      <c r="AZ44" s="827">
        <f t="shared" si="10"/>
        <v>0</v>
      </c>
      <c r="BA44" s="827"/>
      <c r="BB44" s="827"/>
      <c r="BC44" s="827"/>
      <c r="BD44" s="827"/>
      <c r="BE44" s="827">
        <v>163700</v>
      </c>
      <c r="BF44" s="827"/>
      <c r="BG44" s="827"/>
      <c r="BH44" s="830">
        <f t="shared" si="17"/>
        <v>272170</v>
      </c>
      <c r="BI44" s="830">
        <f>76670+75000+51500+79000-20000</f>
        <v>262170</v>
      </c>
      <c r="BJ44" s="830">
        <v>10000</v>
      </c>
      <c r="BK44" s="830"/>
      <c r="BL44" s="830"/>
      <c r="BM44" s="827"/>
      <c r="BN44" s="828"/>
      <c r="BO44" s="827">
        <f t="shared" si="0"/>
        <v>0</v>
      </c>
      <c r="BP44" s="827"/>
      <c r="BQ44" s="827"/>
      <c r="BR44" s="829">
        <f t="shared" si="11"/>
        <v>149824313.66999999</v>
      </c>
      <c r="BS44" s="758" t="e">
        <f>#REF!</f>
        <v>#REF!</v>
      </c>
      <c r="BT44" s="759" t="e">
        <f t="shared" si="1"/>
        <v>#REF!</v>
      </c>
      <c r="BU44" s="759">
        <f>AQ44-дод5.1!D2424</f>
        <v>0</v>
      </c>
      <c r="BV44" s="758" t="e">
        <f>#REF!</f>
        <v>#REF!</v>
      </c>
      <c r="BW44" s="759" t="e">
        <f t="shared" si="2"/>
        <v>#REF!</v>
      </c>
      <c r="BX44" s="760">
        <f>BH44-дод5.1!E2424</f>
        <v>0</v>
      </c>
      <c r="CA44" s="760" t="b">
        <f t="shared" si="3"/>
        <v>1</v>
      </c>
      <c r="CC44" s="761">
        <f t="shared" si="4"/>
        <v>736672</v>
      </c>
      <c r="CD44" s="501" t="e">
        <f t="shared" si="12"/>
        <v>#REF!</v>
      </c>
    </row>
    <row r="45" spans="1:82" s="463" customFormat="1">
      <c r="A45" s="770"/>
      <c r="B45" s="771" t="s">
        <v>400</v>
      </c>
      <c r="C45" s="828">
        <f t="shared" ref="C45:K45" si="20">SUM(C22:C44)</f>
        <v>123476600</v>
      </c>
      <c r="D45" s="828">
        <f t="shared" si="20"/>
        <v>96600900</v>
      </c>
      <c r="E45" s="828">
        <f t="shared" si="20"/>
        <v>26875700</v>
      </c>
      <c r="F45" s="828">
        <f t="shared" si="20"/>
        <v>1457505100</v>
      </c>
      <c r="G45" s="828">
        <f t="shared" si="20"/>
        <v>196953800</v>
      </c>
      <c r="H45" s="828">
        <f t="shared" si="20"/>
        <v>1328246100</v>
      </c>
      <c r="I45" s="828">
        <f t="shared" si="20"/>
        <v>577044</v>
      </c>
      <c r="J45" s="828">
        <f t="shared" si="20"/>
        <v>14709414.919999998</v>
      </c>
      <c r="K45" s="828">
        <f t="shared" si="20"/>
        <v>1877430</v>
      </c>
      <c r="L45" s="828">
        <f t="shared" ref="L45:Z45" si="21">SUM(L22:L44)</f>
        <v>26774800</v>
      </c>
      <c r="M45" s="828">
        <f t="shared" si="21"/>
        <v>0</v>
      </c>
      <c r="N45" s="828">
        <f t="shared" si="21"/>
        <v>0</v>
      </c>
      <c r="O45" s="828">
        <f t="shared" si="21"/>
        <v>0</v>
      </c>
      <c r="P45" s="828">
        <f t="shared" si="21"/>
        <v>573722</v>
      </c>
      <c r="Q45" s="828">
        <f t="shared" si="21"/>
        <v>18184400</v>
      </c>
      <c r="R45" s="828">
        <f>SUM(R22:R44)</f>
        <v>9889900</v>
      </c>
      <c r="S45" s="828">
        <f>SUM(S22:S44)</f>
        <v>210400</v>
      </c>
      <c r="T45" s="828">
        <f t="shared" si="21"/>
        <v>12045490.620000001</v>
      </c>
      <c r="U45" s="828">
        <f t="shared" si="21"/>
        <v>0</v>
      </c>
      <c r="V45" s="828">
        <f t="shared" si="21"/>
        <v>0</v>
      </c>
      <c r="W45" s="828">
        <f t="shared" si="21"/>
        <v>2706500</v>
      </c>
      <c r="X45" s="828">
        <f t="shared" si="21"/>
        <v>1057900</v>
      </c>
      <c r="Y45" s="828">
        <f t="shared" si="21"/>
        <v>1648600</v>
      </c>
      <c r="Z45" s="828">
        <f t="shared" si="21"/>
        <v>0</v>
      </c>
      <c r="AA45" s="828">
        <f t="shared" ref="AA45:AI45" si="22">SUM(AA22:AA44)</f>
        <v>3039731</v>
      </c>
      <c r="AB45" s="828">
        <f t="shared" si="22"/>
        <v>1906231</v>
      </c>
      <c r="AC45" s="828">
        <f t="shared" si="22"/>
        <v>1133500</v>
      </c>
      <c r="AD45" s="828">
        <f t="shared" si="22"/>
        <v>11723480</v>
      </c>
      <c r="AE45" s="828">
        <f t="shared" si="22"/>
        <v>684620</v>
      </c>
      <c r="AF45" s="828">
        <f t="shared" si="22"/>
        <v>4646580</v>
      </c>
      <c r="AG45" s="828">
        <f t="shared" si="22"/>
        <v>3407180</v>
      </c>
      <c r="AH45" s="828">
        <f t="shared" si="22"/>
        <v>2985100</v>
      </c>
      <c r="AI45" s="831">
        <f t="shared" si="22"/>
        <v>11038860</v>
      </c>
      <c r="AJ45" s="828">
        <f t="shared" ref="AJ45:AT45" si="23">SUM(AJ22:AJ44)</f>
        <v>0</v>
      </c>
      <c r="AK45" s="828">
        <f t="shared" si="23"/>
        <v>0</v>
      </c>
      <c r="AL45" s="828">
        <f t="shared" si="23"/>
        <v>2004800</v>
      </c>
      <c r="AM45" s="828">
        <f t="shared" si="23"/>
        <v>8700</v>
      </c>
      <c r="AN45" s="828">
        <f t="shared" si="23"/>
        <v>0</v>
      </c>
      <c r="AO45" s="828">
        <f t="shared" si="23"/>
        <v>0</v>
      </c>
      <c r="AP45" s="828">
        <f t="shared" si="23"/>
        <v>1165364.6000000001</v>
      </c>
      <c r="AQ45" s="828">
        <f t="shared" si="23"/>
        <v>18480633</v>
      </c>
      <c r="AR45" s="828">
        <f t="shared" si="23"/>
        <v>6701676</v>
      </c>
      <c r="AS45" s="828">
        <f t="shared" si="23"/>
        <v>3081157</v>
      </c>
      <c r="AT45" s="828">
        <f t="shared" si="23"/>
        <v>8597800</v>
      </c>
      <c r="AU45" s="828">
        <f t="shared" ref="AU45:BG45" si="24">SUM(AU22:AU44)</f>
        <v>100000</v>
      </c>
      <c r="AV45" s="828">
        <f t="shared" si="24"/>
        <v>0</v>
      </c>
      <c r="AW45" s="828">
        <f t="shared" si="24"/>
        <v>0</v>
      </c>
      <c r="AX45" s="828">
        <f t="shared" si="24"/>
        <v>0</v>
      </c>
      <c r="AY45" s="828">
        <f t="shared" si="24"/>
        <v>778700</v>
      </c>
      <c r="AZ45" s="828">
        <f t="shared" si="24"/>
        <v>15000</v>
      </c>
      <c r="BA45" s="828"/>
      <c r="BB45" s="828">
        <f t="shared" si="24"/>
        <v>0</v>
      </c>
      <c r="BC45" s="828">
        <f t="shared" si="24"/>
        <v>15000</v>
      </c>
      <c r="BD45" s="828">
        <f t="shared" si="24"/>
        <v>0</v>
      </c>
      <c r="BE45" s="828">
        <f t="shared" si="24"/>
        <v>5687542</v>
      </c>
      <c r="BF45" s="828">
        <f t="shared" si="24"/>
        <v>0</v>
      </c>
      <c r="BG45" s="828">
        <f t="shared" si="24"/>
        <v>500000</v>
      </c>
      <c r="BH45" s="828">
        <f t="shared" ref="BH45:BQ45" si="25">SUM(BH22:BH44)</f>
        <v>11247216</v>
      </c>
      <c r="BI45" s="828">
        <f t="shared" si="25"/>
        <v>4211053</v>
      </c>
      <c r="BJ45" s="828">
        <f t="shared" si="25"/>
        <v>5664693</v>
      </c>
      <c r="BK45" s="828">
        <f t="shared" si="25"/>
        <v>900000</v>
      </c>
      <c r="BL45" s="828">
        <f t="shared" si="25"/>
        <v>0</v>
      </c>
      <c r="BM45" s="828">
        <f t="shared" si="25"/>
        <v>0</v>
      </c>
      <c r="BN45" s="828">
        <f t="shared" si="25"/>
        <v>0</v>
      </c>
      <c r="BO45" s="828">
        <f t="shared" si="25"/>
        <v>471470</v>
      </c>
      <c r="BP45" s="828">
        <f t="shared" si="25"/>
        <v>170000</v>
      </c>
      <c r="BQ45" s="828">
        <f t="shared" si="25"/>
        <v>301470</v>
      </c>
      <c r="BR45" s="829">
        <f t="shared" si="11"/>
        <v>3238272868.1399999</v>
      </c>
      <c r="BS45" s="758" t="e">
        <f>#REF!</f>
        <v>#REF!</v>
      </c>
      <c r="BT45" s="759" t="e">
        <f t="shared" si="1"/>
        <v>#REF!</v>
      </c>
      <c r="BU45" s="759">
        <f>AQ45</f>
        <v>18480633</v>
      </c>
      <c r="BV45" s="758" t="e">
        <f>#REF!</f>
        <v>#REF!</v>
      </c>
      <c r="BW45" s="759" t="e">
        <f t="shared" si="2"/>
        <v>#REF!</v>
      </c>
      <c r="BX45" s="760">
        <f>BH45</f>
        <v>11247216</v>
      </c>
      <c r="CA45" s="760" t="b">
        <f t="shared" si="3"/>
        <v>1</v>
      </c>
      <c r="CC45" s="761">
        <f t="shared" si="4"/>
        <v>29727849</v>
      </c>
      <c r="CD45" s="501" t="e">
        <f t="shared" si="12"/>
        <v>#REF!</v>
      </c>
    </row>
    <row r="46" spans="1:82" s="463" customFormat="1">
      <c r="A46" s="772" t="s">
        <v>845</v>
      </c>
      <c r="B46" s="773" t="s">
        <v>194</v>
      </c>
      <c r="C46" s="827">
        <v>1046300</v>
      </c>
      <c r="D46" s="827">
        <v>805700</v>
      </c>
      <c r="E46" s="827">
        <v>240600</v>
      </c>
      <c r="F46" s="828"/>
      <c r="G46" s="828"/>
      <c r="H46" s="828"/>
      <c r="I46" s="828"/>
      <c r="J46" s="827"/>
      <c r="K46" s="827"/>
      <c r="L46" s="828"/>
      <c r="M46" s="827">
        <f t="shared" si="5"/>
        <v>0</v>
      </c>
      <c r="N46" s="827"/>
      <c r="O46" s="827"/>
      <c r="P46" s="827"/>
      <c r="Q46" s="827">
        <v>22800</v>
      </c>
      <c r="R46" s="827"/>
      <c r="S46" s="827">
        <v>4100</v>
      </c>
      <c r="T46" s="827"/>
      <c r="U46" s="828"/>
      <c r="V46" s="828"/>
      <c r="W46" s="827">
        <f t="shared" si="6"/>
        <v>0</v>
      </c>
      <c r="X46" s="828"/>
      <c r="Y46" s="828"/>
      <c r="Z46" s="828"/>
      <c r="AA46" s="827">
        <f t="shared" si="7"/>
        <v>1189</v>
      </c>
      <c r="AB46" s="827">
        <f>16800-15611</f>
        <v>1189</v>
      </c>
      <c r="AC46" s="827"/>
      <c r="AD46" s="827">
        <f t="shared" si="8"/>
        <v>94200</v>
      </c>
      <c r="AE46" s="827">
        <v>4500</v>
      </c>
      <c r="AF46" s="827">
        <v>37100</v>
      </c>
      <c r="AG46" s="827">
        <v>31300</v>
      </c>
      <c r="AH46" s="827">
        <v>21300</v>
      </c>
      <c r="AI46" s="978">
        <f t="shared" si="18"/>
        <v>89700</v>
      </c>
      <c r="AJ46" s="827"/>
      <c r="AK46" s="828"/>
      <c r="AL46" s="827"/>
      <c r="AM46" s="827"/>
      <c r="AN46" s="828"/>
      <c r="AO46" s="828"/>
      <c r="AP46" s="827"/>
      <c r="AQ46" s="830">
        <f t="shared" si="9"/>
        <v>45000</v>
      </c>
      <c r="AR46" s="830">
        <f>15000+30000</f>
        <v>45000</v>
      </c>
      <c r="AS46" s="828"/>
      <c r="AT46" s="980"/>
      <c r="AU46" s="828"/>
      <c r="AV46" s="828"/>
      <c r="AW46" s="828"/>
      <c r="AX46" s="828"/>
      <c r="AY46" s="828"/>
      <c r="AZ46" s="827">
        <f t="shared" si="10"/>
        <v>0</v>
      </c>
      <c r="BA46" s="827"/>
      <c r="BB46" s="828"/>
      <c r="BC46" s="828"/>
      <c r="BD46" s="827"/>
      <c r="BE46" s="827"/>
      <c r="BF46" s="827"/>
      <c r="BG46" s="827"/>
      <c r="BH46" s="830">
        <f t="shared" ref="BH46:BH77" si="26">SUM(BI46:BO46)</f>
        <v>0</v>
      </c>
      <c r="BI46" s="830"/>
      <c r="BJ46" s="979"/>
      <c r="BK46" s="830"/>
      <c r="BL46" s="979"/>
      <c r="BM46" s="828"/>
      <c r="BN46" s="828"/>
      <c r="BO46" s="827">
        <f t="shared" si="0"/>
        <v>0</v>
      </c>
      <c r="BP46" s="828"/>
      <c r="BQ46" s="827"/>
      <c r="BR46" s="829">
        <f t="shared" si="11"/>
        <v>1209489</v>
      </c>
      <c r="BS46" s="758" t="e">
        <f>#REF!</f>
        <v>#REF!</v>
      </c>
      <c r="BT46" s="759" t="e">
        <f t="shared" si="1"/>
        <v>#REF!</v>
      </c>
      <c r="BU46" s="759">
        <f>AQ46-дод5.1!D2431</f>
        <v>0</v>
      </c>
      <c r="BV46" s="758" t="e">
        <f>#REF!</f>
        <v>#REF!</v>
      </c>
      <c r="BW46" s="759" t="e">
        <f t="shared" si="2"/>
        <v>#REF!</v>
      </c>
      <c r="BX46" s="760">
        <f>BH46-дод5.1!E2431</f>
        <v>0</v>
      </c>
      <c r="CA46" s="760" t="b">
        <f t="shared" si="3"/>
        <v>1</v>
      </c>
      <c r="CC46" s="761">
        <f t="shared" si="4"/>
        <v>45000</v>
      </c>
      <c r="CD46" s="501" t="e">
        <f t="shared" si="12"/>
        <v>#REF!</v>
      </c>
    </row>
    <row r="47" spans="1:82" s="463" customFormat="1">
      <c r="A47" s="772" t="s">
        <v>846</v>
      </c>
      <c r="B47" s="773" t="s">
        <v>44</v>
      </c>
      <c r="C47" s="827">
        <v>1263700</v>
      </c>
      <c r="D47" s="827">
        <v>973000</v>
      </c>
      <c r="E47" s="827">
        <v>290700</v>
      </c>
      <c r="F47" s="828"/>
      <c r="G47" s="828"/>
      <c r="H47" s="828"/>
      <c r="I47" s="828"/>
      <c r="J47" s="827"/>
      <c r="K47" s="827"/>
      <c r="L47" s="828"/>
      <c r="M47" s="827">
        <f t="shared" si="5"/>
        <v>0</v>
      </c>
      <c r="N47" s="827"/>
      <c r="O47" s="827"/>
      <c r="P47" s="827"/>
      <c r="Q47" s="827">
        <v>25400</v>
      </c>
      <c r="R47" s="827"/>
      <c r="S47" s="827">
        <v>3200</v>
      </c>
      <c r="T47" s="827"/>
      <c r="U47" s="828"/>
      <c r="V47" s="828"/>
      <c r="W47" s="827">
        <f t="shared" si="6"/>
        <v>0</v>
      </c>
      <c r="X47" s="828"/>
      <c r="Y47" s="828"/>
      <c r="Z47" s="828"/>
      <c r="AA47" s="827">
        <f t="shared" si="7"/>
        <v>16800</v>
      </c>
      <c r="AB47" s="827">
        <v>16800</v>
      </c>
      <c r="AC47" s="827"/>
      <c r="AD47" s="827">
        <f t="shared" si="8"/>
        <v>145930</v>
      </c>
      <c r="AE47" s="827">
        <v>8430</v>
      </c>
      <c r="AF47" s="827">
        <v>60200</v>
      </c>
      <c r="AG47" s="827">
        <v>34700</v>
      </c>
      <c r="AH47" s="827">
        <v>42600</v>
      </c>
      <c r="AI47" s="978">
        <f t="shared" si="18"/>
        <v>137500</v>
      </c>
      <c r="AJ47" s="827"/>
      <c r="AK47" s="828"/>
      <c r="AL47" s="827"/>
      <c r="AM47" s="827"/>
      <c r="AN47" s="828"/>
      <c r="AO47" s="828"/>
      <c r="AP47" s="827"/>
      <c r="AQ47" s="830">
        <f t="shared" si="9"/>
        <v>243500</v>
      </c>
      <c r="AR47" s="830">
        <f>200000+43500</f>
        <v>243500</v>
      </c>
      <c r="AS47" s="828"/>
      <c r="AT47" s="980"/>
      <c r="AU47" s="828"/>
      <c r="AV47" s="828"/>
      <c r="AW47" s="828"/>
      <c r="AX47" s="828"/>
      <c r="AY47" s="828"/>
      <c r="AZ47" s="827">
        <f t="shared" si="10"/>
        <v>0</v>
      </c>
      <c r="BA47" s="827"/>
      <c r="BB47" s="827"/>
      <c r="BC47" s="827"/>
      <c r="BD47" s="827"/>
      <c r="BE47" s="827"/>
      <c r="BF47" s="827"/>
      <c r="BG47" s="827"/>
      <c r="BH47" s="830">
        <f t="shared" si="26"/>
        <v>0</v>
      </c>
      <c r="BI47" s="830"/>
      <c r="BJ47" s="979"/>
      <c r="BK47" s="830"/>
      <c r="BL47" s="979"/>
      <c r="BM47" s="828"/>
      <c r="BN47" s="828"/>
      <c r="BO47" s="827">
        <f t="shared" si="0"/>
        <v>0</v>
      </c>
      <c r="BP47" s="828"/>
      <c r="BQ47" s="827"/>
      <c r="BR47" s="829">
        <f t="shared" si="11"/>
        <v>1695330</v>
      </c>
      <c r="BS47" s="758" t="e">
        <f>#REF!</f>
        <v>#REF!</v>
      </c>
      <c r="BT47" s="759" t="e">
        <f t="shared" si="1"/>
        <v>#REF!</v>
      </c>
      <c r="BU47" s="759">
        <f>AQ47-дод5.1!D2437</f>
        <v>0</v>
      </c>
      <c r="BV47" s="758" t="e">
        <f>#REF!</f>
        <v>#REF!</v>
      </c>
      <c r="BW47" s="759" t="e">
        <f t="shared" si="2"/>
        <v>#REF!</v>
      </c>
      <c r="BX47" s="760">
        <f>BH47-дод5.1!E2437</f>
        <v>0</v>
      </c>
      <c r="BY47" s="774">
        <f>BU47</f>
        <v>0</v>
      </c>
      <c r="CA47" s="760" t="b">
        <f t="shared" si="3"/>
        <v>1</v>
      </c>
      <c r="CC47" s="761">
        <f t="shared" si="4"/>
        <v>243500</v>
      </c>
      <c r="CD47" s="501" t="e">
        <f t="shared" si="12"/>
        <v>#REF!</v>
      </c>
    </row>
    <row r="48" spans="1:82" s="463" customFormat="1">
      <c r="A48" s="772" t="s">
        <v>847</v>
      </c>
      <c r="B48" s="773" t="s">
        <v>324</v>
      </c>
      <c r="C48" s="827">
        <v>2039200</v>
      </c>
      <c r="D48" s="827">
        <f>1570200+281000</f>
        <v>1851200</v>
      </c>
      <c r="E48" s="827">
        <f>469000-281000</f>
        <v>188000</v>
      </c>
      <c r="F48" s="828"/>
      <c r="G48" s="828"/>
      <c r="H48" s="828"/>
      <c r="I48" s="828"/>
      <c r="J48" s="827"/>
      <c r="K48" s="827"/>
      <c r="L48" s="828"/>
      <c r="M48" s="827">
        <f t="shared" si="5"/>
        <v>0</v>
      </c>
      <c r="N48" s="827"/>
      <c r="O48" s="827"/>
      <c r="P48" s="827"/>
      <c r="Q48" s="827">
        <v>31100</v>
      </c>
      <c r="R48" s="827"/>
      <c r="S48" s="827">
        <v>1000</v>
      </c>
      <c r="T48" s="827">
        <f>528800+30000</f>
        <v>558800</v>
      </c>
      <c r="U48" s="828"/>
      <c r="V48" s="828"/>
      <c r="W48" s="827">
        <f t="shared" si="6"/>
        <v>0</v>
      </c>
      <c r="X48" s="828"/>
      <c r="Y48" s="828"/>
      <c r="Z48" s="828"/>
      <c r="AA48" s="827">
        <f t="shared" si="7"/>
        <v>0</v>
      </c>
      <c r="AB48" s="827"/>
      <c r="AC48" s="827"/>
      <c r="AD48" s="827">
        <f t="shared" si="8"/>
        <v>161270</v>
      </c>
      <c r="AE48" s="827">
        <v>10970</v>
      </c>
      <c r="AF48" s="827">
        <v>64900</v>
      </c>
      <c r="AG48" s="827">
        <v>42800</v>
      </c>
      <c r="AH48" s="827">
        <v>42600</v>
      </c>
      <c r="AI48" s="978">
        <f t="shared" si="18"/>
        <v>150300</v>
      </c>
      <c r="AJ48" s="827"/>
      <c r="AK48" s="828"/>
      <c r="AL48" s="827"/>
      <c r="AM48" s="827"/>
      <c r="AN48" s="828"/>
      <c r="AO48" s="828"/>
      <c r="AP48" s="827"/>
      <c r="AQ48" s="830">
        <f t="shared" si="9"/>
        <v>10000</v>
      </c>
      <c r="AR48" s="830"/>
      <c r="AS48" s="827">
        <v>10000</v>
      </c>
      <c r="AT48" s="980"/>
      <c r="AU48" s="828"/>
      <c r="AV48" s="828"/>
      <c r="AW48" s="828"/>
      <c r="AX48" s="828"/>
      <c r="AY48" s="828"/>
      <c r="AZ48" s="827">
        <f t="shared" si="10"/>
        <v>0</v>
      </c>
      <c r="BA48" s="827"/>
      <c r="BB48" s="827"/>
      <c r="BC48" s="827"/>
      <c r="BD48" s="827"/>
      <c r="BE48" s="827"/>
      <c r="BF48" s="827"/>
      <c r="BG48" s="827"/>
      <c r="BH48" s="830">
        <f t="shared" si="26"/>
        <v>0</v>
      </c>
      <c r="BI48" s="979"/>
      <c r="BJ48" s="979"/>
      <c r="BK48" s="979"/>
      <c r="BL48" s="979"/>
      <c r="BM48" s="828"/>
      <c r="BN48" s="828"/>
      <c r="BO48" s="827">
        <f t="shared" si="0"/>
        <v>0</v>
      </c>
      <c r="BP48" s="828"/>
      <c r="BQ48" s="827"/>
      <c r="BR48" s="829">
        <f t="shared" si="11"/>
        <v>2800370</v>
      </c>
      <c r="BS48" s="758" t="e">
        <f>#REF!</f>
        <v>#REF!</v>
      </c>
      <c r="BT48" s="759" t="e">
        <f t="shared" ref="BT48:BT79" si="27">BS48-AQ48</f>
        <v>#REF!</v>
      </c>
      <c r="BU48" s="759">
        <f>AQ48-дод5.1!D2440</f>
        <v>0</v>
      </c>
      <c r="BV48" s="758" t="e">
        <f>#REF!</f>
        <v>#REF!</v>
      </c>
      <c r="BW48" s="759" t="e">
        <f t="shared" ref="BW48:BW79" si="28">BV48-BH48</f>
        <v>#REF!</v>
      </c>
      <c r="BX48" s="760">
        <f>BH48-дод5.1!E2440</f>
        <v>0</v>
      </c>
      <c r="BY48" s="774"/>
      <c r="CA48" s="760" t="b">
        <f t="shared" ref="CA48:CA79" si="29">BQ48+BP48=BO48</f>
        <v>1</v>
      </c>
      <c r="CC48" s="761">
        <f t="shared" ref="CC48:CC79" si="30">BH48+AQ48</f>
        <v>10000</v>
      </c>
      <c r="CD48" s="501" t="e">
        <f t="shared" si="12"/>
        <v>#REF!</v>
      </c>
    </row>
    <row r="49" spans="1:82" s="463" customFormat="1">
      <c r="A49" s="772" t="s">
        <v>848</v>
      </c>
      <c r="B49" s="773" t="s">
        <v>325</v>
      </c>
      <c r="C49" s="827">
        <v>2278400</v>
      </c>
      <c r="D49" s="827">
        <v>1754400</v>
      </c>
      <c r="E49" s="827">
        <v>524000</v>
      </c>
      <c r="F49" s="828"/>
      <c r="G49" s="828"/>
      <c r="H49" s="828"/>
      <c r="I49" s="828"/>
      <c r="J49" s="827"/>
      <c r="K49" s="827"/>
      <c r="L49" s="828"/>
      <c r="M49" s="827">
        <f t="shared" si="5"/>
        <v>0</v>
      </c>
      <c r="N49" s="827"/>
      <c r="O49" s="827"/>
      <c r="P49" s="827"/>
      <c r="Q49" s="827">
        <v>58900</v>
      </c>
      <c r="R49" s="827"/>
      <c r="S49" s="827">
        <v>3200</v>
      </c>
      <c r="T49" s="827">
        <f>203900+50000+50000</f>
        <v>303900</v>
      </c>
      <c r="U49" s="828"/>
      <c r="V49" s="828"/>
      <c r="W49" s="827">
        <f t="shared" si="6"/>
        <v>0</v>
      </c>
      <c r="X49" s="828"/>
      <c r="Y49" s="828"/>
      <c r="Z49" s="828"/>
      <c r="AA49" s="827">
        <f t="shared" si="7"/>
        <v>50300</v>
      </c>
      <c r="AB49" s="827">
        <f>22500+27800</f>
        <v>50300</v>
      </c>
      <c r="AC49" s="827"/>
      <c r="AD49" s="827">
        <f t="shared" si="8"/>
        <v>199950</v>
      </c>
      <c r="AE49" s="827">
        <v>8150</v>
      </c>
      <c r="AF49" s="827">
        <v>78800</v>
      </c>
      <c r="AG49" s="827">
        <v>91700</v>
      </c>
      <c r="AH49" s="827">
        <v>21300</v>
      </c>
      <c r="AI49" s="978">
        <f t="shared" si="18"/>
        <v>191800</v>
      </c>
      <c r="AJ49" s="827"/>
      <c r="AK49" s="827"/>
      <c r="AL49" s="827"/>
      <c r="AM49" s="827"/>
      <c r="AN49" s="828"/>
      <c r="AO49" s="828"/>
      <c r="AP49" s="827"/>
      <c r="AQ49" s="830">
        <f t="shared" si="9"/>
        <v>151148</v>
      </c>
      <c r="AR49" s="830">
        <f>123846+27302</f>
        <v>151148</v>
      </c>
      <c r="AS49" s="828"/>
      <c r="AT49" s="980"/>
      <c r="AU49" s="828"/>
      <c r="AV49" s="828"/>
      <c r="AW49" s="828"/>
      <c r="AX49" s="828"/>
      <c r="AY49" s="828"/>
      <c r="AZ49" s="827">
        <f t="shared" si="10"/>
        <v>0</v>
      </c>
      <c r="BA49" s="827"/>
      <c r="BB49" s="827"/>
      <c r="BC49" s="827"/>
      <c r="BD49" s="827"/>
      <c r="BE49" s="827"/>
      <c r="BF49" s="827"/>
      <c r="BG49" s="827"/>
      <c r="BH49" s="830">
        <f t="shared" si="26"/>
        <v>344719</v>
      </c>
      <c r="BI49" s="830">
        <f>190278+154441</f>
        <v>344719</v>
      </c>
      <c r="BJ49" s="830"/>
      <c r="BK49" s="830"/>
      <c r="BL49" s="979"/>
      <c r="BM49" s="828"/>
      <c r="BN49" s="828"/>
      <c r="BO49" s="827">
        <f t="shared" si="0"/>
        <v>0</v>
      </c>
      <c r="BP49" s="828"/>
      <c r="BQ49" s="827"/>
      <c r="BR49" s="829">
        <f t="shared" si="11"/>
        <v>3387317</v>
      </c>
      <c r="BS49" s="758" t="e">
        <f>#REF!</f>
        <v>#REF!</v>
      </c>
      <c r="BT49" s="759" t="e">
        <f t="shared" si="27"/>
        <v>#REF!</v>
      </c>
      <c r="BU49" s="759">
        <f>AQ49-дод5.1!D2472</f>
        <v>0</v>
      </c>
      <c r="BV49" s="758" t="e">
        <f>#REF!</f>
        <v>#REF!</v>
      </c>
      <c r="BW49" s="759" t="e">
        <f t="shared" si="28"/>
        <v>#REF!</v>
      </c>
      <c r="BX49" s="760">
        <f>BH49-дод5.1!E2472</f>
        <v>0</v>
      </c>
      <c r="BY49" s="774"/>
      <c r="CA49" s="760" t="b">
        <f t="shared" si="29"/>
        <v>1</v>
      </c>
      <c r="CC49" s="761">
        <f t="shared" si="30"/>
        <v>495867</v>
      </c>
      <c r="CD49" s="501" t="e">
        <f t="shared" si="12"/>
        <v>#REF!</v>
      </c>
    </row>
    <row r="50" spans="1:82" s="463" customFormat="1">
      <c r="A50" s="772" t="s">
        <v>849</v>
      </c>
      <c r="B50" s="773" t="s">
        <v>45</v>
      </c>
      <c r="C50" s="827">
        <v>3974200</v>
      </c>
      <c r="D50" s="827">
        <v>3060100</v>
      </c>
      <c r="E50" s="827">
        <v>914100</v>
      </c>
      <c r="F50" s="828"/>
      <c r="G50" s="828"/>
      <c r="H50" s="828"/>
      <c r="I50" s="828"/>
      <c r="J50" s="827"/>
      <c r="K50" s="827"/>
      <c r="L50" s="828"/>
      <c r="M50" s="827">
        <f t="shared" si="5"/>
        <v>0</v>
      </c>
      <c r="N50" s="827"/>
      <c r="O50" s="827"/>
      <c r="P50" s="827"/>
      <c r="Q50" s="827">
        <f>112700+414200+76600</f>
        <v>603500</v>
      </c>
      <c r="R50" s="827">
        <f>112700+20000</f>
        <v>132700</v>
      </c>
      <c r="S50" s="827">
        <v>4500</v>
      </c>
      <c r="T50" s="827">
        <f>234600+30000</f>
        <v>264600</v>
      </c>
      <c r="U50" s="828"/>
      <c r="V50" s="828"/>
      <c r="W50" s="827">
        <f t="shared" si="6"/>
        <v>0</v>
      </c>
      <c r="X50" s="828"/>
      <c r="Y50" s="828"/>
      <c r="Z50" s="828"/>
      <c r="AA50" s="827">
        <f t="shared" si="7"/>
        <v>151000</v>
      </c>
      <c r="AB50" s="827">
        <f>202200-51200</f>
        <v>151000</v>
      </c>
      <c r="AC50" s="827"/>
      <c r="AD50" s="827">
        <f t="shared" si="8"/>
        <v>386970</v>
      </c>
      <c r="AE50" s="827">
        <v>25870</v>
      </c>
      <c r="AF50" s="827">
        <v>143600</v>
      </c>
      <c r="AG50" s="827">
        <v>100200</v>
      </c>
      <c r="AH50" s="827">
        <v>117300</v>
      </c>
      <c r="AI50" s="978">
        <f t="shared" si="18"/>
        <v>361100</v>
      </c>
      <c r="AJ50" s="827"/>
      <c r="AK50" s="828"/>
      <c r="AL50" s="827"/>
      <c r="AM50" s="827"/>
      <c r="AN50" s="828"/>
      <c r="AO50" s="828"/>
      <c r="AP50" s="827"/>
      <c r="AQ50" s="830">
        <f t="shared" si="9"/>
        <v>53000</v>
      </c>
      <c r="AR50" s="830">
        <v>3000</v>
      </c>
      <c r="AS50" s="827"/>
      <c r="AT50" s="827"/>
      <c r="AU50" s="828"/>
      <c r="AV50" s="828"/>
      <c r="AW50" s="827">
        <v>50000</v>
      </c>
      <c r="AX50" s="828"/>
      <c r="AY50" s="828"/>
      <c r="AZ50" s="827">
        <f t="shared" si="10"/>
        <v>0</v>
      </c>
      <c r="BA50" s="827"/>
      <c r="BB50" s="827"/>
      <c r="BC50" s="827"/>
      <c r="BD50" s="827"/>
      <c r="BE50" s="827"/>
      <c r="BF50" s="827"/>
      <c r="BG50" s="827"/>
      <c r="BH50" s="830">
        <f t="shared" si="26"/>
        <v>134000</v>
      </c>
      <c r="BI50" s="830">
        <v>17000</v>
      </c>
      <c r="BJ50" s="830"/>
      <c r="BK50" s="979"/>
      <c r="BL50" s="979"/>
      <c r="BM50" s="828"/>
      <c r="BN50" s="827">
        <v>117000</v>
      </c>
      <c r="BO50" s="827">
        <f t="shared" si="0"/>
        <v>0</v>
      </c>
      <c r="BP50" s="828"/>
      <c r="BQ50" s="827">
        <f>50000-50000</f>
        <v>0</v>
      </c>
      <c r="BR50" s="829">
        <f t="shared" si="11"/>
        <v>5567270</v>
      </c>
      <c r="BS50" s="758" t="e">
        <f>#REF!</f>
        <v>#REF!</v>
      </c>
      <c r="BT50" s="759" t="e">
        <f t="shared" si="27"/>
        <v>#REF!</v>
      </c>
      <c r="BU50" s="759">
        <f>AQ50-дод5.1!D2482</f>
        <v>0</v>
      </c>
      <c r="BV50" s="758" t="e">
        <f>#REF!</f>
        <v>#REF!</v>
      </c>
      <c r="BW50" s="759" t="e">
        <f>BV50-BH50</f>
        <v>#REF!</v>
      </c>
      <c r="BX50" s="760">
        <f>BH50-дод5.1!E2482</f>
        <v>0</v>
      </c>
      <c r="CA50" s="760" t="b">
        <f t="shared" si="29"/>
        <v>1</v>
      </c>
      <c r="CC50" s="761">
        <f t="shared" si="30"/>
        <v>187000</v>
      </c>
      <c r="CD50" s="501" t="e">
        <f t="shared" si="12"/>
        <v>#REF!</v>
      </c>
    </row>
    <row r="51" spans="1:82" s="463" customFormat="1">
      <c r="A51" s="772" t="s">
        <v>850</v>
      </c>
      <c r="B51" s="773" t="s">
        <v>46</v>
      </c>
      <c r="C51" s="827">
        <v>3480300</v>
      </c>
      <c r="D51" s="827">
        <v>2679800</v>
      </c>
      <c r="E51" s="827">
        <v>800500</v>
      </c>
      <c r="F51" s="828"/>
      <c r="G51" s="828"/>
      <c r="H51" s="828"/>
      <c r="I51" s="828"/>
      <c r="J51" s="827"/>
      <c r="K51" s="827"/>
      <c r="L51" s="828"/>
      <c r="M51" s="827">
        <f t="shared" si="5"/>
        <v>0</v>
      </c>
      <c r="N51" s="827"/>
      <c r="O51" s="827"/>
      <c r="P51" s="827"/>
      <c r="Q51" s="827">
        <v>67500</v>
      </c>
      <c r="R51" s="827"/>
      <c r="S51" s="827">
        <v>3200</v>
      </c>
      <c r="T51" s="827">
        <f>239900+15000</f>
        <v>254900</v>
      </c>
      <c r="U51" s="828"/>
      <c r="V51" s="828"/>
      <c r="W51" s="827">
        <f t="shared" si="6"/>
        <v>0</v>
      </c>
      <c r="X51" s="828"/>
      <c r="Y51" s="828"/>
      <c r="Z51" s="828"/>
      <c r="AA51" s="827">
        <f t="shared" si="7"/>
        <v>113350</v>
      </c>
      <c r="AB51" s="827"/>
      <c r="AC51" s="827">
        <v>113350</v>
      </c>
      <c r="AD51" s="827">
        <f t="shared" si="8"/>
        <v>287620</v>
      </c>
      <c r="AE51" s="827">
        <v>14620</v>
      </c>
      <c r="AF51" s="827">
        <v>115800</v>
      </c>
      <c r="AG51" s="827">
        <v>103900</v>
      </c>
      <c r="AH51" s="827">
        <v>53300</v>
      </c>
      <c r="AI51" s="978">
        <f t="shared" si="18"/>
        <v>273000</v>
      </c>
      <c r="AJ51" s="827"/>
      <c r="AK51" s="827"/>
      <c r="AL51" s="827"/>
      <c r="AM51" s="827"/>
      <c r="AN51" s="828"/>
      <c r="AO51" s="828"/>
      <c r="AP51" s="827"/>
      <c r="AQ51" s="830">
        <f t="shared" si="9"/>
        <v>881059</v>
      </c>
      <c r="AR51" s="830">
        <f>178000+30000+263059+60000</f>
        <v>531059</v>
      </c>
      <c r="AS51" s="827">
        <f>100000+200000+50000</f>
        <v>350000</v>
      </c>
      <c r="AT51" s="828"/>
      <c r="AU51" s="828"/>
      <c r="AV51" s="828"/>
      <c r="AW51" s="828"/>
      <c r="AX51" s="828"/>
      <c r="AY51" s="828"/>
      <c r="AZ51" s="827">
        <f t="shared" si="10"/>
        <v>0</v>
      </c>
      <c r="BA51" s="827"/>
      <c r="BB51" s="827"/>
      <c r="BC51" s="827"/>
      <c r="BD51" s="827"/>
      <c r="BE51" s="827"/>
      <c r="BF51" s="827"/>
      <c r="BG51" s="827"/>
      <c r="BH51" s="830">
        <f t="shared" si="26"/>
        <v>319100</v>
      </c>
      <c r="BI51" s="830">
        <f>16000+7000+16100</f>
        <v>39100</v>
      </c>
      <c r="BJ51" s="830">
        <v>100000</v>
      </c>
      <c r="BK51" s="830">
        <v>180000</v>
      </c>
      <c r="BL51" s="830"/>
      <c r="BM51" s="828"/>
      <c r="BN51" s="828"/>
      <c r="BO51" s="827">
        <f t="shared" si="0"/>
        <v>0</v>
      </c>
      <c r="BP51" s="828"/>
      <c r="BQ51" s="827">
        <f>100000-100000</f>
        <v>0</v>
      </c>
      <c r="BR51" s="829">
        <f t="shared" si="11"/>
        <v>5403829</v>
      </c>
      <c r="BS51" s="758" t="e">
        <f>#REF!</f>
        <v>#REF!</v>
      </c>
      <c r="BT51" s="759" t="e">
        <f t="shared" si="27"/>
        <v>#REF!</v>
      </c>
      <c r="BU51" s="759">
        <f>AQ51-дод5.1!D2538</f>
        <v>0</v>
      </c>
      <c r="BV51" s="758" t="e">
        <f>#REF!</f>
        <v>#REF!</v>
      </c>
      <c r="BW51" s="759" t="e">
        <f t="shared" si="28"/>
        <v>#REF!</v>
      </c>
      <c r="BX51" s="760">
        <f>BH51-дод5.1!E2538</f>
        <v>0</v>
      </c>
      <c r="BY51" s="774">
        <f>BU51+BX51</f>
        <v>0</v>
      </c>
      <c r="CA51" s="760" t="b">
        <f t="shared" si="29"/>
        <v>1</v>
      </c>
      <c r="CC51" s="761">
        <f t="shared" si="30"/>
        <v>1200159</v>
      </c>
      <c r="CD51" s="501" t="e">
        <f t="shared" si="12"/>
        <v>#REF!</v>
      </c>
    </row>
    <row r="52" spans="1:82" s="463" customFormat="1">
      <c r="A52" s="772" t="s">
        <v>851</v>
      </c>
      <c r="B52" s="773" t="s">
        <v>391</v>
      </c>
      <c r="C52" s="827">
        <v>1543100</v>
      </c>
      <c r="D52" s="827">
        <v>1188200</v>
      </c>
      <c r="E52" s="827">
        <v>354900</v>
      </c>
      <c r="F52" s="828"/>
      <c r="G52" s="828"/>
      <c r="H52" s="828"/>
      <c r="I52" s="828"/>
      <c r="J52" s="827"/>
      <c r="K52" s="827"/>
      <c r="L52" s="828"/>
      <c r="M52" s="827">
        <f t="shared" si="5"/>
        <v>0</v>
      </c>
      <c r="N52" s="827"/>
      <c r="O52" s="827"/>
      <c r="P52" s="827"/>
      <c r="Q52" s="827">
        <v>30400</v>
      </c>
      <c r="R52" s="827"/>
      <c r="S52" s="827">
        <v>2900</v>
      </c>
      <c r="T52" s="827"/>
      <c r="U52" s="828"/>
      <c r="V52" s="828"/>
      <c r="W52" s="827">
        <f t="shared" si="6"/>
        <v>0</v>
      </c>
      <c r="X52" s="828"/>
      <c r="Y52" s="828"/>
      <c r="Z52" s="828"/>
      <c r="AA52" s="827">
        <f t="shared" si="7"/>
        <v>0</v>
      </c>
      <c r="AB52" s="827"/>
      <c r="AC52" s="827"/>
      <c r="AD52" s="827">
        <f t="shared" si="8"/>
        <v>87170</v>
      </c>
      <c r="AE52" s="827">
        <v>6470</v>
      </c>
      <c r="AF52" s="827">
        <v>32400</v>
      </c>
      <c r="AG52" s="827">
        <v>27000</v>
      </c>
      <c r="AH52" s="827">
        <v>21300</v>
      </c>
      <c r="AI52" s="978">
        <f t="shared" si="18"/>
        <v>80700</v>
      </c>
      <c r="AJ52" s="827"/>
      <c r="AK52" s="828"/>
      <c r="AL52" s="827"/>
      <c r="AM52" s="827"/>
      <c r="AN52" s="828"/>
      <c r="AO52" s="828"/>
      <c r="AP52" s="827"/>
      <c r="AQ52" s="830">
        <f t="shared" si="9"/>
        <v>55000</v>
      </c>
      <c r="AR52" s="830">
        <v>55000</v>
      </c>
      <c r="AS52" s="828"/>
      <c r="AT52" s="828"/>
      <c r="AU52" s="828"/>
      <c r="AV52" s="828"/>
      <c r="AW52" s="828"/>
      <c r="AX52" s="828"/>
      <c r="AY52" s="828"/>
      <c r="AZ52" s="827">
        <f t="shared" si="10"/>
        <v>0</v>
      </c>
      <c r="BA52" s="827"/>
      <c r="BB52" s="828"/>
      <c r="BC52" s="828"/>
      <c r="BD52" s="827"/>
      <c r="BE52" s="827"/>
      <c r="BF52" s="827"/>
      <c r="BG52" s="827"/>
      <c r="BH52" s="830">
        <f t="shared" si="26"/>
        <v>149193.95000000001</v>
      </c>
      <c r="BI52" s="830">
        <v>40000</v>
      </c>
      <c r="BJ52" s="830"/>
      <c r="BK52" s="830"/>
      <c r="BL52" s="830"/>
      <c r="BM52" s="828"/>
      <c r="BN52" s="827">
        <f>60000.95+49193</f>
        <v>109193.95</v>
      </c>
      <c r="BO52" s="827">
        <f t="shared" si="0"/>
        <v>0</v>
      </c>
      <c r="BP52" s="828"/>
      <c r="BQ52" s="827"/>
      <c r="BR52" s="829">
        <f t="shared" si="11"/>
        <v>1864863.95</v>
      </c>
      <c r="BS52" s="758" t="e">
        <f>#REF!</f>
        <v>#REF!</v>
      </c>
      <c r="BT52" s="759" t="e">
        <f t="shared" si="27"/>
        <v>#REF!</v>
      </c>
      <c r="BU52" s="759">
        <f>AQ52-дод5.1!D2544</f>
        <v>0</v>
      </c>
      <c r="BV52" s="758" t="e">
        <f>#REF!</f>
        <v>#REF!</v>
      </c>
      <c r="BW52" s="759" t="e">
        <f t="shared" si="28"/>
        <v>#REF!</v>
      </c>
      <c r="BX52" s="760">
        <f>BH52-дод5.1!E2544</f>
        <v>0</v>
      </c>
      <c r="BY52" s="774">
        <f>BU52+BX52</f>
        <v>0</v>
      </c>
      <c r="CA52" s="760" t="b">
        <f t="shared" si="29"/>
        <v>1</v>
      </c>
      <c r="CC52" s="761">
        <f t="shared" si="30"/>
        <v>204193.95</v>
      </c>
      <c r="CD52" s="501" t="e">
        <f t="shared" si="12"/>
        <v>#REF!</v>
      </c>
    </row>
    <row r="53" spans="1:82" s="463" customFormat="1">
      <c r="A53" s="772" t="s">
        <v>852</v>
      </c>
      <c r="B53" s="773" t="s">
        <v>326</v>
      </c>
      <c r="C53" s="827">
        <v>2322000</v>
      </c>
      <c r="D53" s="827">
        <v>1787900</v>
      </c>
      <c r="E53" s="827">
        <v>534100</v>
      </c>
      <c r="F53" s="828"/>
      <c r="G53" s="828"/>
      <c r="H53" s="828"/>
      <c r="I53" s="828"/>
      <c r="J53" s="827"/>
      <c r="K53" s="827"/>
      <c r="L53" s="828"/>
      <c r="M53" s="827">
        <f t="shared" si="5"/>
        <v>0</v>
      </c>
      <c r="N53" s="827"/>
      <c r="O53" s="827"/>
      <c r="P53" s="827"/>
      <c r="Q53" s="827">
        <v>54500</v>
      </c>
      <c r="R53" s="827"/>
      <c r="S53" s="827">
        <v>4600</v>
      </c>
      <c r="T53" s="827">
        <f>178200+20000</f>
        <v>198200</v>
      </c>
      <c r="U53" s="828"/>
      <c r="V53" s="828"/>
      <c r="W53" s="827">
        <f t="shared" si="6"/>
        <v>0</v>
      </c>
      <c r="X53" s="828"/>
      <c r="Y53" s="828"/>
      <c r="Z53" s="828"/>
      <c r="AA53" s="827">
        <f t="shared" si="7"/>
        <v>30200</v>
      </c>
      <c r="AB53" s="827">
        <f>44900-11300-3400</f>
        <v>30200</v>
      </c>
      <c r="AC53" s="827"/>
      <c r="AD53" s="827">
        <f t="shared" si="8"/>
        <v>149260</v>
      </c>
      <c r="AE53" s="827">
        <v>5060</v>
      </c>
      <c r="AF53" s="827">
        <v>55600</v>
      </c>
      <c r="AG53" s="827">
        <v>67300</v>
      </c>
      <c r="AH53" s="827">
        <v>21300</v>
      </c>
      <c r="AI53" s="978">
        <f t="shared" si="18"/>
        <v>144200</v>
      </c>
      <c r="AJ53" s="827"/>
      <c r="AK53" s="828"/>
      <c r="AL53" s="827"/>
      <c r="AM53" s="827"/>
      <c r="AN53" s="828"/>
      <c r="AO53" s="828"/>
      <c r="AP53" s="827"/>
      <c r="AQ53" s="830">
        <f t="shared" si="9"/>
        <v>0</v>
      </c>
      <c r="AR53" s="830"/>
      <c r="AS53" s="828"/>
      <c r="AT53" s="828"/>
      <c r="AU53" s="828"/>
      <c r="AV53" s="828"/>
      <c r="AW53" s="828"/>
      <c r="AX53" s="828"/>
      <c r="AY53" s="828"/>
      <c r="AZ53" s="827">
        <f t="shared" si="10"/>
        <v>0</v>
      </c>
      <c r="BA53" s="827"/>
      <c r="BB53" s="828"/>
      <c r="BC53" s="828"/>
      <c r="BD53" s="827"/>
      <c r="BE53" s="827"/>
      <c r="BF53" s="827"/>
      <c r="BG53" s="827"/>
      <c r="BH53" s="830">
        <f t="shared" si="26"/>
        <v>0</v>
      </c>
      <c r="BI53" s="830"/>
      <c r="BJ53" s="830"/>
      <c r="BK53" s="830"/>
      <c r="BL53" s="830"/>
      <c r="BM53" s="828"/>
      <c r="BN53" s="828"/>
      <c r="BO53" s="827">
        <f t="shared" si="0"/>
        <v>0</v>
      </c>
      <c r="BP53" s="828"/>
      <c r="BQ53" s="827"/>
      <c r="BR53" s="829">
        <f t="shared" si="11"/>
        <v>2754160</v>
      </c>
      <c r="BS53" s="758" t="e">
        <f>#REF!</f>
        <v>#REF!</v>
      </c>
      <c r="BT53" s="759" t="e">
        <f t="shared" si="27"/>
        <v>#REF!</v>
      </c>
      <c r="BU53" s="759">
        <f>AQ53-дод5.1!D2547</f>
        <v>0</v>
      </c>
      <c r="BV53" s="758" t="e">
        <f>#REF!</f>
        <v>#REF!</v>
      </c>
      <c r="BW53" s="759" t="e">
        <f t="shared" si="28"/>
        <v>#REF!</v>
      </c>
      <c r="BX53" s="760">
        <f>BH53-дод5.1!E2547</f>
        <v>0</v>
      </c>
      <c r="CA53" s="760" t="b">
        <f t="shared" si="29"/>
        <v>1</v>
      </c>
      <c r="CC53" s="761">
        <f t="shared" si="30"/>
        <v>0</v>
      </c>
      <c r="CD53" s="501" t="e">
        <f t="shared" si="12"/>
        <v>#REF!</v>
      </c>
    </row>
    <row r="54" spans="1:82" s="463" customFormat="1">
      <c r="A54" s="772" t="s">
        <v>853</v>
      </c>
      <c r="B54" s="773" t="s">
        <v>128</v>
      </c>
      <c r="C54" s="827">
        <v>2102400</v>
      </c>
      <c r="D54" s="827">
        <v>1618800</v>
      </c>
      <c r="E54" s="827">
        <v>483600</v>
      </c>
      <c r="F54" s="828"/>
      <c r="G54" s="828"/>
      <c r="H54" s="828"/>
      <c r="I54" s="828"/>
      <c r="J54" s="827"/>
      <c r="K54" s="827"/>
      <c r="L54" s="828"/>
      <c r="M54" s="827">
        <f t="shared" si="5"/>
        <v>0</v>
      </c>
      <c r="N54" s="827"/>
      <c r="O54" s="827"/>
      <c r="P54" s="827"/>
      <c r="Q54" s="827">
        <v>47400</v>
      </c>
      <c r="R54" s="827"/>
      <c r="S54" s="827">
        <v>3500</v>
      </c>
      <c r="T54" s="827">
        <f>134600+35833.21+10000</f>
        <v>180433.21</v>
      </c>
      <c r="U54" s="828"/>
      <c r="V54" s="828"/>
      <c r="W54" s="827">
        <f t="shared" si="6"/>
        <v>0</v>
      </c>
      <c r="X54" s="828"/>
      <c r="Y54" s="828"/>
      <c r="Z54" s="828"/>
      <c r="AA54" s="827">
        <f t="shared" si="7"/>
        <v>0</v>
      </c>
      <c r="AB54" s="827"/>
      <c r="AC54" s="827"/>
      <c r="AD54" s="827">
        <f t="shared" si="8"/>
        <v>178930</v>
      </c>
      <c r="AE54" s="827">
        <v>8430</v>
      </c>
      <c r="AF54" s="827">
        <v>74100</v>
      </c>
      <c r="AG54" s="827">
        <v>64400</v>
      </c>
      <c r="AH54" s="827">
        <v>32000</v>
      </c>
      <c r="AI54" s="978">
        <f t="shared" si="18"/>
        <v>170500</v>
      </c>
      <c r="AJ54" s="827"/>
      <c r="AK54" s="828"/>
      <c r="AL54" s="827"/>
      <c r="AM54" s="827"/>
      <c r="AN54" s="828"/>
      <c r="AO54" s="828"/>
      <c r="AP54" s="827">
        <v>222200</v>
      </c>
      <c r="AQ54" s="830">
        <f t="shared" si="9"/>
        <v>0</v>
      </c>
      <c r="AR54" s="830"/>
      <c r="AS54" s="828"/>
      <c r="AT54" s="828"/>
      <c r="AU54" s="828"/>
      <c r="AV54" s="828"/>
      <c r="AW54" s="828"/>
      <c r="AX54" s="828"/>
      <c r="AY54" s="828"/>
      <c r="AZ54" s="827">
        <f t="shared" si="10"/>
        <v>0</v>
      </c>
      <c r="BA54" s="827"/>
      <c r="BB54" s="828"/>
      <c r="BC54" s="828"/>
      <c r="BD54" s="827"/>
      <c r="BE54" s="827"/>
      <c r="BF54" s="827"/>
      <c r="BG54" s="827"/>
      <c r="BH54" s="830">
        <f t="shared" si="26"/>
        <v>0</v>
      </c>
      <c r="BI54" s="830"/>
      <c r="BJ54" s="830"/>
      <c r="BK54" s="830"/>
      <c r="BL54" s="830"/>
      <c r="BM54" s="828"/>
      <c r="BN54" s="828"/>
      <c r="BO54" s="827">
        <f t="shared" si="0"/>
        <v>0</v>
      </c>
      <c r="BP54" s="828"/>
      <c r="BQ54" s="827"/>
      <c r="BR54" s="829">
        <f t="shared" si="11"/>
        <v>2731363.21</v>
      </c>
      <c r="BS54" s="758" t="e">
        <f>#REF!</f>
        <v>#REF!</v>
      </c>
      <c r="BT54" s="759" t="e">
        <f t="shared" si="27"/>
        <v>#REF!</v>
      </c>
      <c r="BU54" s="759">
        <f>AQ54-дод5.1!D2550</f>
        <v>0</v>
      </c>
      <c r="BV54" s="758" t="e">
        <f>#REF!</f>
        <v>#REF!</v>
      </c>
      <c r="BW54" s="759" t="e">
        <f t="shared" si="28"/>
        <v>#REF!</v>
      </c>
      <c r="BX54" s="760">
        <f>BH54-дод5.1!E2550</f>
        <v>0</v>
      </c>
      <c r="CA54" s="760" t="b">
        <f t="shared" si="29"/>
        <v>1</v>
      </c>
      <c r="CC54" s="761">
        <f t="shared" si="30"/>
        <v>0</v>
      </c>
      <c r="CD54" s="501" t="e">
        <f t="shared" si="12"/>
        <v>#REF!</v>
      </c>
    </row>
    <row r="55" spans="1:82" s="463" customFormat="1">
      <c r="A55" s="772" t="s">
        <v>854</v>
      </c>
      <c r="B55" s="773" t="s">
        <v>200</v>
      </c>
      <c r="C55" s="827">
        <v>2304500</v>
      </c>
      <c r="D55" s="827">
        <v>1774500</v>
      </c>
      <c r="E55" s="827">
        <v>530000</v>
      </c>
      <c r="F55" s="828"/>
      <c r="G55" s="828"/>
      <c r="H55" s="828"/>
      <c r="I55" s="828"/>
      <c r="J55" s="827"/>
      <c r="K55" s="827"/>
      <c r="L55" s="828"/>
      <c r="M55" s="827">
        <f t="shared" si="5"/>
        <v>0</v>
      </c>
      <c r="N55" s="827"/>
      <c r="O55" s="827"/>
      <c r="P55" s="827"/>
      <c r="Q55" s="827">
        <v>41300</v>
      </c>
      <c r="R55" s="827"/>
      <c r="S55" s="827">
        <v>2700</v>
      </c>
      <c r="T55" s="827">
        <f>119200+15000</f>
        <v>134200</v>
      </c>
      <c r="U55" s="828"/>
      <c r="V55" s="828"/>
      <c r="W55" s="827">
        <f t="shared" si="6"/>
        <v>0</v>
      </c>
      <c r="X55" s="828"/>
      <c r="Y55" s="828"/>
      <c r="Z55" s="828"/>
      <c r="AA55" s="827">
        <f t="shared" si="7"/>
        <v>0</v>
      </c>
      <c r="AB55" s="827"/>
      <c r="AC55" s="827"/>
      <c r="AD55" s="827">
        <f t="shared" si="8"/>
        <v>179080</v>
      </c>
      <c r="AE55" s="827">
        <v>9280</v>
      </c>
      <c r="AF55" s="827">
        <v>69500</v>
      </c>
      <c r="AG55" s="827">
        <v>57700</v>
      </c>
      <c r="AH55" s="827">
        <v>42600</v>
      </c>
      <c r="AI55" s="978">
        <f t="shared" si="18"/>
        <v>169800</v>
      </c>
      <c r="AJ55" s="827"/>
      <c r="AK55" s="827"/>
      <c r="AL55" s="827">
        <v>137800</v>
      </c>
      <c r="AM55" s="827"/>
      <c r="AN55" s="828"/>
      <c r="AO55" s="828"/>
      <c r="AP55" s="827"/>
      <c r="AQ55" s="830">
        <f t="shared" si="9"/>
        <v>100000</v>
      </c>
      <c r="AR55" s="830">
        <f>20000+40000+40000</f>
        <v>100000</v>
      </c>
      <c r="AS55" s="828"/>
      <c r="AT55" s="828"/>
      <c r="AU55" s="828"/>
      <c r="AV55" s="828"/>
      <c r="AW55" s="828"/>
      <c r="AX55" s="828"/>
      <c r="AY55" s="828"/>
      <c r="AZ55" s="827">
        <f t="shared" si="10"/>
        <v>0</v>
      </c>
      <c r="BA55" s="827"/>
      <c r="BB55" s="828"/>
      <c r="BC55" s="828"/>
      <c r="BD55" s="827"/>
      <c r="BE55" s="827"/>
      <c r="BF55" s="827"/>
      <c r="BG55" s="827"/>
      <c r="BH55" s="830">
        <f t="shared" si="26"/>
        <v>165000</v>
      </c>
      <c r="BI55" s="830">
        <f>25000+48000+52000+40000</f>
        <v>165000</v>
      </c>
      <c r="BJ55" s="830"/>
      <c r="BK55" s="830"/>
      <c r="BL55" s="830"/>
      <c r="BM55" s="828"/>
      <c r="BN55" s="828"/>
      <c r="BO55" s="827">
        <f t="shared" si="0"/>
        <v>0</v>
      </c>
      <c r="BP55" s="828"/>
      <c r="BQ55" s="827"/>
      <c r="BR55" s="829">
        <f t="shared" si="11"/>
        <v>3061880</v>
      </c>
      <c r="BS55" s="758" t="e">
        <f>#REF!</f>
        <v>#REF!</v>
      </c>
      <c r="BT55" s="759" t="e">
        <f t="shared" si="27"/>
        <v>#REF!</v>
      </c>
      <c r="BU55" s="759">
        <f>AQ55-дод5.1!D2585</f>
        <v>0</v>
      </c>
      <c r="BV55" s="758" t="e">
        <f>#REF!</f>
        <v>#REF!</v>
      </c>
      <c r="BW55" s="759" t="e">
        <f t="shared" si="28"/>
        <v>#REF!</v>
      </c>
      <c r="BX55" s="760">
        <f>BH55-дод5.1!E2585</f>
        <v>0</v>
      </c>
      <c r="CA55" s="760" t="b">
        <f t="shared" si="29"/>
        <v>1</v>
      </c>
      <c r="CC55" s="761">
        <f t="shared" si="30"/>
        <v>265000</v>
      </c>
      <c r="CD55" s="501" t="e">
        <f t="shared" si="12"/>
        <v>#REF!</v>
      </c>
    </row>
    <row r="56" spans="1:82" s="463" customFormat="1">
      <c r="A56" s="772" t="s">
        <v>855</v>
      </c>
      <c r="B56" s="773" t="s">
        <v>347</v>
      </c>
      <c r="C56" s="827">
        <v>8538800</v>
      </c>
      <c r="D56" s="827">
        <v>6574900</v>
      </c>
      <c r="E56" s="827">
        <v>1963900</v>
      </c>
      <c r="F56" s="828"/>
      <c r="G56" s="828"/>
      <c r="H56" s="828"/>
      <c r="I56" s="828"/>
      <c r="J56" s="827"/>
      <c r="K56" s="827"/>
      <c r="L56" s="828"/>
      <c r="M56" s="827">
        <f t="shared" si="5"/>
        <v>0</v>
      </c>
      <c r="N56" s="827"/>
      <c r="O56" s="827"/>
      <c r="P56" s="827">
        <v>23295</v>
      </c>
      <c r="Q56" s="827">
        <f>633700+125000+181300</f>
        <v>940000</v>
      </c>
      <c r="R56" s="827">
        <f>633700+125000</f>
        <v>758700</v>
      </c>
      <c r="S56" s="827">
        <v>7600</v>
      </c>
      <c r="T56" s="827">
        <f>470100+21403+50000+80000</f>
        <v>621503</v>
      </c>
      <c r="U56" s="828"/>
      <c r="V56" s="828"/>
      <c r="W56" s="827">
        <f t="shared" si="6"/>
        <v>3541900</v>
      </c>
      <c r="X56" s="828"/>
      <c r="Y56" s="827">
        <f>2341900+1200000</f>
        <v>3541900</v>
      </c>
      <c r="Z56" s="827"/>
      <c r="AA56" s="827">
        <f t="shared" si="7"/>
        <v>33600</v>
      </c>
      <c r="AB56" s="827">
        <f>44900-11300</f>
        <v>33600</v>
      </c>
      <c r="AC56" s="827"/>
      <c r="AD56" s="827">
        <f t="shared" si="8"/>
        <v>795010</v>
      </c>
      <c r="AE56" s="827">
        <v>31210</v>
      </c>
      <c r="AF56" s="827">
        <v>338200</v>
      </c>
      <c r="AG56" s="827">
        <v>276300</v>
      </c>
      <c r="AH56" s="827">
        <v>149300</v>
      </c>
      <c r="AI56" s="978">
        <f t="shared" si="18"/>
        <v>763800</v>
      </c>
      <c r="AJ56" s="827"/>
      <c r="AK56" s="827"/>
      <c r="AL56" s="827"/>
      <c r="AM56" s="827"/>
      <c r="AN56" s="828"/>
      <c r="AO56" s="828"/>
      <c r="AP56" s="827">
        <v>295000</v>
      </c>
      <c r="AQ56" s="830">
        <f t="shared" si="9"/>
        <v>269005</v>
      </c>
      <c r="AR56" s="830">
        <f>5000+136105+93400</f>
        <v>234505</v>
      </c>
      <c r="AS56" s="827">
        <v>34500</v>
      </c>
      <c r="AT56" s="828"/>
      <c r="AU56" s="828"/>
      <c r="AV56" s="828"/>
      <c r="AW56" s="828"/>
      <c r="AX56" s="828"/>
      <c r="AY56" s="828"/>
      <c r="AZ56" s="827">
        <f t="shared" si="10"/>
        <v>0</v>
      </c>
      <c r="BA56" s="827"/>
      <c r="BB56" s="828"/>
      <c r="BC56" s="828"/>
      <c r="BD56" s="827"/>
      <c r="BE56" s="827"/>
      <c r="BF56" s="827"/>
      <c r="BG56" s="827"/>
      <c r="BH56" s="830">
        <f t="shared" si="26"/>
        <v>1169215</v>
      </c>
      <c r="BI56" s="830">
        <f>201274+40000+15000+30000+58441</f>
        <v>344715</v>
      </c>
      <c r="BJ56" s="830">
        <f>209500+65000+300000</f>
        <v>574500</v>
      </c>
      <c r="BK56" s="830"/>
      <c r="BL56" s="830"/>
      <c r="BM56" s="827">
        <v>200000</v>
      </c>
      <c r="BN56" s="828"/>
      <c r="BO56" s="827">
        <f t="shared" si="0"/>
        <v>50000</v>
      </c>
      <c r="BP56" s="828"/>
      <c r="BQ56" s="827">
        <v>50000</v>
      </c>
      <c r="BR56" s="829">
        <f t="shared" si="11"/>
        <v>16227328</v>
      </c>
      <c r="BS56" s="758" t="e">
        <f>#REF!</f>
        <v>#REF!</v>
      </c>
      <c r="BT56" s="759" t="e">
        <f t="shared" si="27"/>
        <v>#REF!</v>
      </c>
      <c r="BU56" s="759">
        <f>AQ56-дод5.1!D2620</f>
        <v>0</v>
      </c>
      <c r="BV56" s="758" t="e">
        <f>#REF!</f>
        <v>#REF!</v>
      </c>
      <c r="BW56" s="759" t="e">
        <f t="shared" si="28"/>
        <v>#REF!</v>
      </c>
      <c r="BX56" s="760">
        <f>BH56-дод5.1!E2620</f>
        <v>0</v>
      </c>
      <c r="CA56" s="760" t="b">
        <f t="shared" si="29"/>
        <v>1</v>
      </c>
      <c r="CC56" s="761">
        <f t="shared" si="30"/>
        <v>1438220</v>
      </c>
      <c r="CD56" s="501" t="e">
        <f t="shared" si="12"/>
        <v>#REF!</v>
      </c>
    </row>
    <row r="57" spans="1:82" s="463" customFormat="1">
      <c r="A57" s="772" t="s">
        <v>856</v>
      </c>
      <c r="B57" s="773" t="s">
        <v>348</v>
      </c>
      <c r="C57" s="827">
        <v>10792500</v>
      </c>
      <c r="D57" s="827">
        <v>8310200</v>
      </c>
      <c r="E57" s="827">
        <v>2482300</v>
      </c>
      <c r="F57" s="828"/>
      <c r="G57" s="828"/>
      <c r="H57" s="828"/>
      <c r="I57" s="828"/>
      <c r="J57" s="827"/>
      <c r="K57" s="827"/>
      <c r="L57" s="828"/>
      <c r="M57" s="827">
        <f t="shared" si="5"/>
        <v>0</v>
      </c>
      <c r="N57" s="827"/>
      <c r="O57" s="827"/>
      <c r="P57" s="827"/>
      <c r="Q57" s="827">
        <v>276700</v>
      </c>
      <c r="R57" s="827"/>
      <c r="S57" s="827">
        <v>56700</v>
      </c>
      <c r="T57" s="827"/>
      <c r="U57" s="828"/>
      <c r="V57" s="828"/>
      <c r="W57" s="827">
        <f t="shared" si="6"/>
        <v>0</v>
      </c>
      <c r="X57" s="828"/>
      <c r="Y57" s="828"/>
      <c r="Z57" s="828"/>
      <c r="AA57" s="827">
        <f t="shared" si="7"/>
        <v>294250</v>
      </c>
      <c r="AB57" s="827">
        <f>224600-40000-3700</f>
        <v>180900</v>
      </c>
      <c r="AC57" s="827">
        <v>113350</v>
      </c>
      <c r="AD57" s="827">
        <f t="shared" si="8"/>
        <v>806530</v>
      </c>
      <c r="AE57" s="827">
        <v>8430</v>
      </c>
      <c r="AF57" s="827">
        <v>291900</v>
      </c>
      <c r="AG57" s="827">
        <v>410200</v>
      </c>
      <c r="AH57" s="827">
        <v>96000</v>
      </c>
      <c r="AI57" s="978">
        <f t="shared" si="18"/>
        <v>798100</v>
      </c>
      <c r="AJ57" s="827"/>
      <c r="AK57" s="828"/>
      <c r="AL57" s="827"/>
      <c r="AM57" s="827"/>
      <c r="AN57" s="828"/>
      <c r="AO57" s="828"/>
      <c r="AP57" s="827">
        <f>1038659.4+317768.23</f>
        <v>1356427.63</v>
      </c>
      <c r="AQ57" s="830">
        <f t="shared" si="9"/>
        <v>340527</v>
      </c>
      <c r="AR57" s="830">
        <f>15000+26000+75278+122883+42716</f>
        <v>281877</v>
      </c>
      <c r="AS57" s="827">
        <f>50000+8650</f>
        <v>58650</v>
      </c>
      <c r="AT57" s="828"/>
      <c r="AU57" s="828"/>
      <c r="AV57" s="828"/>
      <c r="AW57" s="828"/>
      <c r="AX57" s="828"/>
      <c r="AY57" s="828"/>
      <c r="AZ57" s="827">
        <f t="shared" si="10"/>
        <v>0</v>
      </c>
      <c r="BA57" s="827"/>
      <c r="BB57" s="828"/>
      <c r="BC57" s="828"/>
      <c r="BD57" s="827"/>
      <c r="BE57" s="827"/>
      <c r="BF57" s="827"/>
      <c r="BG57" s="827"/>
      <c r="BH57" s="830">
        <f t="shared" si="26"/>
        <v>391284</v>
      </c>
      <c r="BI57" s="830">
        <f>119000+28284</f>
        <v>147284</v>
      </c>
      <c r="BJ57" s="830">
        <f>50000+14000</f>
        <v>64000</v>
      </c>
      <c r="BK57" s="830">
        <v>180000</v>
      </c>
      <c r="BL57" s="830"/>
      <c r="BM57" s="828"/>
      <c r="BN57" s="828"/>
      <c r="BO57" s="827">
        <f t="shared" si="0"/>
        <v>0</v>
      </c>
      <c r="BP57" s="828"/>
      <c r="BQ57" s="827"/>
      <c r="BR57" s="829">
        <f t="shared" si="11"/>
        <v>14258218.629999999</v>
      </c>
      <c r="BS57" s="758" t="e">
        <f>#REF!</f>
        <v>#REF!</v>
      </c>
      <c r="BT57" s="759" t="e">
        <f t="shared" si="27"/>
        <v>#REF!</v>
      </c>
      <c r="BU57" s="759">
        <f>AQ57-дод5.1!D2669</f>
        <v>0</v>
      </c>
      <c r="BV57" s="758" t="e">
        <f>#REF!</f>
        <v>#REF!</v>
      </c>
      <c r="BW57" s="759" t="e">
        <f t="shared" si="28"/>
        <v>#REF!</v>
      </c>
      <c r="BX57" s="760">
        <f>BH57-дод5.1!E2669</f>
        <v>0</v>
      </c>
      <c r="CA57" s="760" t="b">
        <f t="shared" si="29"/>
        <v>1</v>
      </c>
      <c r="CC57" s="761">
        <f t="shared" si="30"/>
        <v>731811</v>
      </c>
      <c r="CD57" s="501" t="e">
        <f t="shared" si="12"/>
        <v>#REF!</v>
      </c>
    </row>
    <row r="58" spans="1:82" s="463" customFormat="1">
      <c r="A58" s="772" t="s">
        <v>857</v>
      </c>
      <c r="B58" s="773" t="s">
        <v>279</v>
      </c>
      <c r="C58" s="827">
        <v>15790900</v>
      </c>
      <c r="D58" s="827">
        <f>12159000+1525925</f>
        <v>13684925</v>
      </c>
      <c r="E58" s="827">
        <f>3631900-1525925</f>
        <v>2105975</v>
      </c>
      <c r="F58" s="828"/>
      <c r="G58" s="828"/>
      <c r="H58" s="828"/>
      <c r="I58" s="828"/>
      <c r="J58" s="827"/>
      <c r="K58" s="827"/>
      <c r="L58" s="828"/>
      <c r="M58" s="827">
        <f t="shared" si="5"/>
        <v>0</v>
      </c>
      <c r="N58" s="827"/>
      <c r="O58" s="827"/>
      <c r="P58" s="827">
        <v>32613</v>
      </c>
      <c r="Q58" s="827">
        <f>510500+1275200+261200</f>
        <v>2046900</v>
      </c>
      <c r="R58" s="827">
        <f>510500+17000</f>
        <v>527500</v>
      </c>
      <c r="S58" s="827">
        <v>13800</v>
      </c>
      <c r="T58" s="827">
        <f>893400+6900+130000-100000+100000</f>
        <v>1030300</v>
      </c>
      <c r="U58" s="828"/>
      <c r="V58" s="828"/>
      <c r="W58" s="827">
        <f t="shared" si="6"/>
        <v>0</v>
      </c>
      <c r="X58" s="828"/>
      <c r="Y58" s="828"/>
      <c r="Z58" s="828"/>
      <c r="AA58" s="827">
        <f t="shared" si="7"/>
        <v>461750</v>
      </c>
      <c r="AB58" s="827">
        <f>494200+9200-155000</f>
        <v>348400</v>
      </c>
      <c r="AC58" s="827">
        <v>113350</v>
      </c>
      <c r="AD58" s="827">
        <f t="shared" si="8"/>
        <v>1516300</v>
      </c>
      <c r="AE58" s="827">
        <v>83500</v>
      </c>
      <c r="AF58" s="827">
        <v>560600</v>
      </c>
      <c r="AG58" s="827">
        <v>499100</v>
      </c>
      <c r="AH58" s="827">
        <v>373100</v>
      </c>
      <c r="AI58" s="978">
        <f t="shared" si="18"/>
        <v>1432800</v>
      </c>
      <c r="AJ58" s="827"/>
      <c r="AK58" s="828"/>
      <c r="AL58" s="827"/>
      <c r="AM58" s="827"/>
      <c r="AN58" s="828"/>
      <c r="AO58" s="828"/>
      <c r="AP58" s="827">
        <v>219808</v>
      </c>
      <c r="AQ58" s="830">
        <f t="shared" si="9"/>
        <v>1301599</v>
      </c>
      <c r="AR58" s="830">
        <f>74000+16500+107745+7132+101585-5000+116705+153582+30000</f>
        <v>602249</v>
      </c>
      <c r="AS58" s="827">
        <f>57000+32000+150000+65000+198350+111000+16000+70000</f>
        <v>699350</v>
      </c>
      <c r="AT58" s="828"/>
      <c r="AU58" s="828"/>
      <c r="AV58" s="828"/>
      <c r="AW58" s="828"/>
      <c r="AX58" s="828"/>
      <c r="AY58" s="828"/>
      <c r="AZ58" s="827">
        <f t="shared" si="10"/>
        <v>0</v>
      </c>
      <c r="BA58" s="827"/>
      <c r="BB58" s="828"/>
      <c r="BC58" s="828"/>
      <c r="BD58" s="827"/>
      <c r="BE58" s="827"/>
      <c r="BF58" s="827"/>
      <c r="BG58" s="827">
        <v>80000</v>
      </c>
      <c r="BH58" s="830">
        <f t="shared" si="26"/>
        <v>2390071</v>
      </c>
      <c r="BI58" s="830">
        <f>45000+20000+108532+128533+30000-7132+321700+5000+80900+223741</f>
        <v>956274</v>
      </c>
      <c r="BJ58" s="830">
        <f>8000+250000+30000+248700+580000-16000</f>
        <v>1100700</v>
      </c>
      <c r="BK58" s="830">
        <v>180000</v>
      </c>
      <c r="BL58" s="830"/>
      <c r="BM58" s="828"/>
      <c r="BN58" s="828"/>
      <c r="BO58" s="827">
        <f t="shared" si="0"/>
        <v>153097</v>
      </c>
      <c r="BP58" s="828"/>
      <c r="BQ58" s="827">
        <f>200000-46903</f>
        <v>153097</v>
      </c>
      <c r="BR58" s="829">
        <f t="shared" si="11"/>
        <v>24870241</v>
      </c>
      <c r="BS58" s="758" t="e">
        <f>#REF!</f>
        <v>#REF!</v>
      </c>
      <c r="BT58" s="759" t="e">
        <f t="shared" si="27"/>
        <v>#REF!</v>
      </c>
      <c r="BU58" s="759">
        <f>AQ58-дод5.1!D2817</f>
        <v>0</v>
      </c>
      <c r="BV58" s="758" t="e">
        <f>#REF!</f>
        <v>#REF!</v>
      </c>
      <c r="BW58" s="759" t="e">
        <f t="shared" si="28"/>
        <v>#REF!</v>
      </c>
      <c r="BX58" s="760">
        <f>BH58-дод5.1!E2817</f>
        <v>0</v>
      </c>
      <c r="CA58" s="760" t="b">
        <f t="shared" si="29"/>
        <v>1</v>
      </c>
      <c r="CC58" s="761">
        <f t="shared" si="30"/>
        <v>3691670</v>
      </c>
      <c r="CD58" s="501" t="e">
        <f t="shared" si="12"/>
        <v>#REF!</v>
      </c>
    </row>
    <row r="59" spans="1:82" s="463" customFormat="1">
      <c r="A59" s="772" t="s">
        <v>858</v>
      </c>
      <c r="B59" s="773" t="s">
        <v>349</v>
      </c>
      <c r="C59" s="827">
        <v>5311900</v>
      </c>
      <c r="D59" s="827">
        <v>4090200</v>
      </c>
      <c r="E59" s="827">
        <v>1221700</v>
      </c>
      <c r="F59" s="828"/>
      <c r="G59" s="828"/>
      <c r="H59" s="828"/>
      <c r="I59" s="828"/>
      <c r="J59" s="827"/>
      <c r="K59" s="827"/>
      <c r="L59" s="828"/>
      <c r="M59" s="827">
        <f t="shared" si="5"/>
        <v>0</v>
      </c>
      <c r="N59" s="827"/>
      <c r="O59" s="827"/>
      <c r="P59" s="827">
        <v>27330</v>
      </c>
      <c r="Q59" s="827">
        <f>253500+60000+128500</f>
        <v>442000</v>
      </c>
      <c r="R59" s="827">
        <f>253500+60000</f>
        <v>313500</v>
      </c>
      <c r="S59" s="827">
        <v>22700</v>
      </c>
      <c r="T59" s="827">
        <f>407300+30000+50000</f>
        <v>487300</v>
      </c>
      <c r="U59" s="828"/>
      <c r="V59" s="828"/>
      <c r="W59" s="827">
        <f t="shared" si="6"/>
        <v>0</v>
      </c>
      <c r="X59" s="828"/>
      <c r="Y59" s="828"/>
      <c r="Z59" s="828"/>
      <c r="AA59" s="827">
        <f t="shared" si="7"/>
        <v>281150</v>
      </c>
      <c r="AB59" s="827">
        <f>157200+10600</f>
        <v>167800</v>
      </c>
      <c r="AC59" s="827">
        <v>113350</v>
      </c>
      <c r="AD59" s="827">
        <f t="shared" si="8"/>
        <v>569050</v>
      </c>
      <c r="AE59" s="827">
        <v>30650</v>
      </c>
      <c r="AF59" s="827">
        <v>222400</v>
      </c>
      <c r="AG59" s="827">
        <v>166700</v>
      </c>
      <c r="AH59" s="827">
        <v>149300</v>
      </c>
      <c r="AI59" s="978">
        <f t="shared" si="18"/>
        <v>538400</v>
      </c>
      <c r="AJ59" s="827"/>
      <c r="AK59" s="828"/>
      <c r="AL59" s="827"/>
      <c r="AM59" s="827"/>
      <c r="AN59" s="828"/>
      <c r="AO59" s="828"/>
      <c r="AP59" s="827">
        <f>430000+395624</f>
        <v>825624</v>
      </c>
      <c r="AQ59" s="830">
        <f t="shared" si="9"/>
        <v>104300</v>
      </c>
      <c r="AR59" s="830">
        <f>20000+15000</f>
        <v>35000</v>
      </c>
      <c r="AS59" s="827">
        <f>65000+4300</f>
        <v>69300</v>
      </c>
      <c r="AT59" s="828"/>
      <c r="AU59" s="828"/>
      <c r="AV59" s="828"/>
      <c r="AW59" s="828"/>
      <c r="AX59" s="828"/>
      <c r="AY59" s="828"/>
      <c r="AZ59" s="827">
        <f t="shared" si="10"/>
        <v>0</v>
      </c>
      <c r="BA59" s="827"/>
      <c r="BB59" s="828"/>
      <c r="BC59" s="828"/>
      <c r="BD59" s="827"/>
      <c r="BE59" s="827"/>
      <c r="BF59" s="827"/>
      <c r="BG59" s="827"/>
      <c r="BH59" s="830">
        <f t="shared" si="26"/>
        <v>596000</v>
      </c>
      <c r="BI59" s="830"/>
      <c r="BJ59" s="830">
        <f>300000+100000+16000</f>
        <v>416000</v>
      </c>
      <c r="BK59" s="830">
        <v>180000</v>
      </c>
      <c r="BL59" s="830"/>
      <c r="BM59" s="828"/>
      <c r="BN59" s="828"/>
      <c r="BO59" s="827">
        <f t="shared" si="0"/>
        <v>0</v>
      </c>
      <c r="BP59" s="828"/>
      <c r="BQ59" s="827"/>
      <c r="BR59" s="829">
        <f t="shared" si="11"/>
        <v>8644654</v>
      </c>
      <c r="BS59" s="758" t="e">
        <f>#REF!</f>
        <v>#REF!</v>
      </c>
      <c r="BT59" s="759" t="e">
        <f t="shared" si="27"/>
        <v>#REF!</v>
      </c>
      <c r="BU59" s="759">
        <f>AQ59-дод5.1!D2852</f>
        <v>0</v>
      </c>
      <c r="BV59" s="758" t="e">
        <f>#REF!</f>
        <v>#REF!</v>
      </c>
      <c r="BW59" s="759" t="e">
        <f t="shared" si="28"/>
        <v>#REF!</v>
      </c>
      <c r="BX59" s="760">
        <f>BH59-дод5.1!E2852</f>
        <v>0</v>
      </c>
      <c r="CA59" s="760" t="b">
        <f t="shared" si="29"/>
        <v>1</v>
      </c>
      <c r="CC59" s="761">
        <f t="shared" si="30"/>
        <v>700300</v>
      </c>
      <c r="CD59" s="501" t="e">
        <f t="shared" si="12"/>
        <v>#REF!</v>
      </c>
    </row>
    <row r="60" spans="1:82" s="463" customFormat="1">
      <c r="A60" s="772" t="s">
        <v>859</v>
      </c>
      <c r="B60" s="773" t="s">
        <v>350</v>
      </c>
      <c r="C60" s="827">
        <v>3245100</v>
      </c>
      <c r="D60" s="827">
        <v>2498700</v>
      </c>
      <c r="E60" s="827">
        <v>746400</v>
      </c>
      <c r="F60" s="828"/>
      <c r="G60" s="828"/>
      <c r="H60" s="828"/>
      <c r="I60" s="828"/>
      <c r="J60" s="827"/>
      <c r="K60" s="827"/>
      <c r="L60" s="828"/>
      <c r="M60" s="827">
        <f t="shared" si="5"/>
        <v>0</v>
      </c>
      <c r="N60" s="827"/>
      <c r="O60" s="827"/>
      <c r="P60" s="827"/>
      <c r="Q60" s="827">
        <v>60300</v>
      </c>
      <c r="R60" s="827"/>
      <c r="S60" s="827">
        <v>3600</v>
      </c>
      <c r="T60" s="827"/>
      <c r="U60" s="828"/>
      <c r="V60" s="828"/>
      <c r="W60" s="827">
        <f t="shared" si="6"/>
        <v>0</v>
      </c>
      <c r="X60" s="828"/>
      <c r="Y60" s="828"/>
      <c r="Z60" s="828"/>
      <c r="AA60" s="827">
        <f t="shared" si="7"/>
        <v>174050</v>
      </c>
      <c r="AB60" s="827">
        <f>67400+16500-23200</f>
        <v>60700</v>
      </c>
      <c r="AC60" s="827">
        <v>113350</v>
      </c>
      <c r="AD60" s="827">
        <f t="shared" si="8"/>
        <v>203440</v>
      </c>
      <c r="AE60" s="827">
        <v>14340</v>
      </c>
      <c r="AF60" s="827">
        <v>78800</v>
      </c>
      <c r="AG60" s="827">
        <v>89000</v>
      </c>
      <c r="AH60" s="827">
        <v>21300</v>
      </c>
      <c r="AI60" s="978">
        <f t="shared" si="18"/>
        <v>189100</v>
      </c>
      <c r="AJ60" s="827"/>
      <c r="AK60" s="828"/>
      <c r="AL60" s="827"/>
      <c r="AM60" s="827"/>
      <c r="AN60" s="828"/>
      <c r="AO60" s="828"/>
      <c r="AP60" s="827"/>
      <c r="AQ60" s="830">
        <f t="shared" si="9"/>
        <v>0</v>
      </c>
      <c r="AR60" s="830"/>
      <c r="AS60" s="827"/>
      <c r="AT60" s="828"/>
      <c r="AU60" s="828"/>
      <c r="AV60" s="828"/>
      <c r="AW60" s="828"/>
      <c r="AX60" s="828"/>
      <c r="AY60" s="828"/>
      <c r="AZ60" s="827">
        <f t="shared" si="10"/>
        <v>0</v>
      </c>
      <c r="BA60" s="827"/>
      <c r="BB60" s="828"/>
      <c r="BC60" s="828"/>
      <c r="BD60" s="827"/>
      <c r="BE60" s="827"/>
      <c r="BF60" s="827"/>
      <c r="BG60" s="827"/>
      <c r="BH60" s="830">
        <f t="shared" si="26"/>
        <v>237960</v>
      </c>
      <c r="BI60" s="830">
        <v>10000</v>
      </c>
      <c r="BJ60" s="830"/>
      <c r="BK60" s="830"/>
      <c r="BL60" s="830"/>
      <c r="BM60" s="827">
        <v>150000</v>
      </c>
      <c r="BN60" s="827">
        <v>77960</v>
      </c>
      <c r="BO60" s="827">
        <f t="shared" si="0"/>
        <v>0</v>
      </c>
      <c r="BP60" s="828"/>
      <c r="BQ60" s="827"/>
      <c r="BR60" s="829">
        <f t="shared" si="11"/>
        <v>3920850</v>
      </c>
      <c r="BS60" s="758" t="e">
        <f>#REF!</f>
        <v>#REF!</v>
      </c>
      <c r="BT60" s="759" t="e">
        <f t="shared" si="27"/>
        <v>#REF!</v>
      </c>
      <c r="BU60" s="759">
        <f>AQ60-дод5.1!D2887</f>
        <v>0</v>
      </c>
      <c r="BV60" s="758" t="e">
        <f>#REF!</f>
        <v>#REF!</v>
      </c>
      <c r="BW60" s="759" t="e">
        <f t="shared" si="28"/>
        <v>#REF!</v>
      </c>
      <c r="BX60" s="760">
        <f>BH60-дод5.1!E2887</f>
        <v>0</v>
      </c>
      <c r="CA60" s="760" t="b">
        <f t="shared" si="29"/>
        <v>1</v>
      </c>
      <c r="CC60" s="761">
        <f t="shared" si="30"/>
        <v>237960</v>
      </c>
      <c r="CD60" s="501" t="e">
        <f t="shared" si="12"/>
        <v>#REF!</v>
      </c>
    </row>
    <row r="61" spans="1:82" s="463" customFormat="1">
      <c r="A61" s="772" t="s">
        <v>860</v>
      </c>
      <c r="B61" s="773" t="s">
        <v>491</v>
      </c>
      <c r="C61" s="827">
        <v>2355600</v>
      </c>
      <c r="D61" s="827">
        <f>1813800+76690</f>
        <v>1890490</v>
      </c>
      <c r="E61" s="827">
        <f>541800-76690</f>
        <v>465110</v>
      </c>
      <c r="F61" s="828"/>
      <c r="G61" s="828"/>
      <c r="H61" s="828"/>
      <c r="I61" s="828"/>
      <c r="J61" s="827"/>
      <c r="K61" s="827"/>
      <c r="L61" s="828"/>
      <c r="M61" s="827">
        <f t="shared" si="5"/>
        <v>0</v>
      </c>
      <c r="N61" s="827"/>
      <c r="O61" s="827"/>
      <c r="P61" s="827"/>
      <c r="Q61" s="827">
        <v>48800</v>
      </c>
      <c r="R61" s="827"/>
      <c r="S61" s="827">
        <v>1500</v>
      </c>
      <c r="T61" s="827">
        <f>85600-21403+10000</f>
        <v>74197</v>
      </c>
      <c r="U61" s="828"/>
      <c r="V61" s="828"/>
      <c r="W61" s="827">
        <f t="shared" si="6"/>
        <v>0</v>
      </c>
      <c r="X61" s="828"/>
      <c r="Y61" s="828"/>
      <c r="Z61" s="828"/>
      <c r="AA61" s="827">
        <f t="shared" si="7"/>
        <v>133570</v>
      </c>
      <c r="AB61" s="827">
        <f>67400-33800-13380</f>
        <v>20220</v>
      </c>
      <c r="AC61" s="827">
        <v>113350</v>
      </c>
      <c r="AD61" s="827">
        <f t="shared" si="8"/>
        <v>161880</v>
      </c>
      <c r="AE61" s="827">
        <v>10680</v>
      </c>
      <c r="AF61" s="827">
        <v>55600</v>
      </c>
      <c r="AG61" s="827">
        <v>74300</v>
      </c>
      <c r="AH61" s="827">
        <v>21300</v>
      </c>
      <c r="AI61" s="978">
        <f t="shared" si="18"/>
        <v>151200</v>
      </c>
      <c r="AJ61" s="827"/>
      <c r="AK61" s="828"/>
      <c r="AL61" s="827"/>
      <c r="AM61" s="827"/>
      <c r="AN61" s="828"/>
      <c r="AO61" s="828"/>
      <c r="AP61" s="827"/>
      <c r="AQ61" s="830">
        <f t="shared" si="9"/>
        <v>55000</v>
      </c>
      <c r="AR61" s="830">
        <f>15000-15000</f>
        <v>0</v>
      </c>
      <c r="AS61" s="827">
        <f>5000+50000</f>
        <v>55000</v>
      </c>
      <c r="AT61" s="828"/>
      <c r="AU61" s="828"/>
      <c r="AV61" s="828"/>
      <c r="AW61" s="828"/>
      <c r="AX61" s="828"/>
      <c r="AY61" s="828"/>
      <c r="AZ61" s="827">
        <f t="shared" si="10"/>
        <v>0</v>
      </c>
      <c r="BA61" s="827"/>
      <c r="BB61" s="828"/>
      <c r="BC61" s="828"/>
      <c r="BD61" s="827"/>
      <c r="BE61" s="827"/>
      <c r="BF61" s="827"/>
      <c r="BG61" s="827"/>
      <c r="BH61" s="830">
        <f t="shared" si="26"/>
        <v>26000</v>
      </c>
      <c r="BI61" s="830">
        <f>5000+15000</f>
        <v>20000</v>
      </c>
      <c r="BJ61" s="830">
        <f>6000</f>
        <v>6000</v>
      </c>
      <c r="BK61" s="830"/>
      <c r="BL61" s="830"/>
      <c r="BM61" s="828"/>
      <c r="BN61" s="828"/>
      <c r="BO61" s="827">
        <f t="shared" si="0"/>
        <v>0</v>
      </c>
      <c r="BP61" s="828"/>
      <c r="BQ61" s="827"/>
      <c r="BR61" s="829">
        <f t="shared" si="11"/>
        <v>2855047</v>
      </c>
      <c r="BS61" s="758" t="e">
        <f>#REF!</f>
        <v>#REF!</v>
      </c>
      <c r="BT61" s="759" t="e">
        <f t="shared" si="27"/>
        <v>#REF!</v>
      </c>
      <c r="BU61" s="759">
        <f>AQ61-дод5.1!D2922</f>
        <v>0</v>
      </c>
      <c r="BV61" s="758" t="e">
        <f>#REF!</f>
        <v>#REF!</v>
      </c>
      <c r="BW61" s="759" t="e">
        <f t="shared" si="28"/>
        <v>#REF!</v>
      </c>
      <c r="BX61" s="760">
        <f>BH61-дод5.1!E2922</f>
        <v>0</v>
      </c>
      <c r="CA61" s="760" t="b">
        <f t="shared" si="29"/>
        <v>1</v>
      </c>
      <c r="CC61" s="761">
        <f t="shared" si="30"/>
        <v>81000</v>
      </c>
      <c r="CD61" s="501" t="e">
        <f t="shared" si="12"/>
        <v>#REF!</v>
      </c>
    </row>
    <row r="62" spans="1:82" s="463" customFormat="1">
      <c r="A62" s="772" t="s">
        <v>861</v>
      </c>
      <c r="B62" s="773" t="s">
        <v>49</v>
      </c>
      <c r="C62" s="827">
        <v>2378900</v>
      </c>
      <c r="D62" s="827">
        <v>1831800</v>
      </c>
      <c r="E62" s="827">
        <v>547100</v>
      </c>
      <c r="F62" s="828"/>
      <c r="G62" s="828"/>
      <c r="H62" s="828"/>
      <c r="I62" s="828"/>
      <c r="J62" s="827"/>
      <c r="K62" s="827"/>
      <c r="L62" s="828"/>
      <c r="M62" s="827">
        <f t="shared" si="5"/>
        <v>0</v>
      </c>
      <c r="N62" s="827"/>
      <c r="O62" s="827"/>
      <c r="P62" s="827"/>
      <c r="Q62" s="827">
        <f>57000+200000</f>
        <v>257000</v>
      </c>
      <c r="R62" s="827"/>
      <c r="S62" s="827">
        <v>4200</v>
      </c>
      <c r="T62" s="827">
        <f>92229.38+50000</f>
        <v>142229.38</v>
      </c>
      <c r="U62" s="828"/>
      <c r="V62" s="828"/>
      <c r="W62" s="827">
        <f t="shared" si="6"/>
        <v>1914300</v>
      </c>
      <c r="X62" s="828"/>
      <c r="Y62" s="827">
        <f>523800+1390500</f>
        <v>1914300</v>
      </c>
      <c r="Z62" s="827"/>
      <c r="AA62" s="827">
        <f t="shared" si="7"/>
        <v>230750</v>
      </c>
      <c r="AB62" s="827">
        <f>44900+72500</f>
        <v>117400</v>
      </c>
      <c r="AC62" s="827">
        <v>113350</v>
      </c>
      <c r="AD62" s="827">
        <f t="shared" si="8"/>
        <v>241050</v>
      </c>
      <c r="AE62" s="827">
        <v>12650</v>
      </c>
      <c r="AF62" s="827">
        <v>88000</v>
      </c>
      <c r="AG62" s="827">
        <v>76400</v>
      </c>
      <c r="AH62" s="827">
        <v>64000</v>
      </c>
      <c r="AI62" s="978">
        <f t="shared" si="18"/>
        <v>228400</v>
      </c>
      <c r="AJ62" s="827"/>
      <c r="AK62" s="828"/>
      <c r="AL62" s="827">
        <v>417200</v>
      </c>
      <c r="AM62" s="827"/>
      <c r="AN62" s="828"/>
      <c r="AO62" s="828"/>
      <c r="AP62" s="827">
        <f>271365+320160</f>
        <v>591525</v>
      </c>
      <c r="AQ62" s="830">
        <f t="shared" si="9"/>
        <v>280000</v>
      </c>
      <c r="AR62" s="830">
        <f>20000+90000+15000+80000</f>
        <v>205000</v>
      </c>
      <c r="AS62" s="827">
        <v>75000</v>
      </c>
      <c r="AT62" s="828"/>
      <c r="AU62" s="828"/>
      <c r="AV62" s="828"/>
      <c r="AW62" s="828"/>
      <c r="AX62" s="828"/>
      <c r="AY62" s="828"/>
      <c r="AZ62" s="827">
        <f t="shared" si="10"/>
        <v>0</v>
      </c>
      <c r="BA62" s="827"/>
      <c r="BB62" s="828"/>
      <c r="BC62" s="828"/>
      <c r="BD62" s="827"/>
      <c r="BE62" s="827"/>
      <c r="BF62" s="827"/>
      <c r="BG62" s="827"/>
      <c r="BH62" s="830">
        <f t="shared" si="26"/>
        <v>150000</v>
      </c>
      <c r="BI62" s="830"/>
      <c r="BJ62" s="830"/>
      <c r="BK62" s="830"/>
      <c r="BL62" s="830"/>
      <c r="BM62" s="828"/>
      <c r="BN62" s="828"/>
      <c r="BO62" s="827">
        <f t="shared" si="0"/>
        <v>150000</v>
      </c>
      <c r="BP62" s="828"/>
      <c r="BQ62" s="827">
        <f>100000+50000</f>
        <v>150000</v>
      </c>
      <c r="BR62" s="829">
        <f t="shared" si="11"/>
        <v>6602954.3799999999</v>
      </c>
      <c r="BS62" s="758" t="e">
        <f>#REF!</f>
        <v>#REF!</v>
      </c>
      <c r="BT62" s="759" t="e">
        <f t="shared" si="27"/>
        <v>#REF!</v>
      </c>
      <c r="BU62" s="759">
        <f>AQ62-дод5.1!D2957</f>
        <v>0</v>
      </c>
      <c r="BV62" s="758" t="e">
        <f>#REF!</f>
        <v>#REF!</v>
      </c>
      <c r="BW62" s="759" t="e">
        <f t="shared" si="28"/>
        <v>#REF!</v>
      </c>
      <c r="BX62" s="760">
        <f>BH62-дод5.1!E2957</f>
        <v>0</v>
      </c>
      <c r="CA62" s="760" t="b">
        <f t="shared" si="29"/>
        <v>1</v>
      </c>
      <c r="CC62" s="761">
        <f t="shared" si="30"/>
        <v>430000</v>
      </c>
      <c r="CD62" s="501" t="e">
        <f t="shared" si="12"/>
        <v>#REF!</v>
      </c>
    </row>
    <row r="63" spans="1:82" s="463" customFormat="1">
      <c r="A63" s="772" t="s">
        <v>862</v>
      </c>
      <c r="B63" s="773" t="s">
        <v>50</v>
      </c>
      <c r="C63" s="827">
        <v>1802000</v>
      </c>
      <c r="D63" s="827">
        <v>1387500</v>
      </c>
      <c r="E63" s="827">
        <v>414500</v>
      </c>
      <c r="F63" s="828"/>
      <c r="G63" s="828"/>
      <c r="H63" s="828"/>
      <c r="I63" s="828"/>
      <c r="J63" s="827"/>
      <c r="K63" s="827"/>
      <c r="L63" s="828"/>
      <c r="M63" s="827">
        <f t="shared" si="5"/>
        <v>0</v>
      </c>
      <c r="N63" s="827"/>
      <c r="O63" s="827"/>
      <c r="P63" s="827"/>
      <c r="Q63" s="827">
        <v>48100</v>
      </c>
      <c r="R63" s="827"/>
      <c r="S63" s="827">
        <v>3100</v>
      </c>
      <c r="T63" s="827">
        <f>120300+15000</f>
        <v>135300</v>
      </c>
      <c r="U63" s="828"/>
      <c r="V63" s="828"/>
      <c r="W63" s="827">
        <f t="shared" si="6"/>
        <v>0</v>
      </c>
      <c r="X63" s="828"/>
      <c r="Y63" s="828"/>
      <c r="Z63" s="828"/>
      <c r="AA63" s="827">
        <f t="shared" si="7"/>
        <v>67100</v>
      </c>
      <c r="AB63" s="827">
        <f>44900+22200</f>
        <v>67100</v>
      </c>
      <c r="AC63" s="827"/>
      <c r="AD63" s="827">
        <f t="shared" si="8"/>
        <v>207650</v>
      </c>
      <c r="AE63" s="827">
        <v>2250</v>
      </c>
      <c r="AF63" s="827">
        <v>88000</v>
      </c>
      <c r="AG63" s="827">
        <v>74800</v>
      </c>
      <c r="AH63" s="827">
        <v>42600</v>
      </c>
      <c r="AI63" s="978">
        <f t="shared" si="18"/>
        <v>205400</v>
      </c>
      <c r="AJ63" s="827"/>
      <c r="AK63" s="828"/>
      <c r="AL63" s="827"/>
      <c r="AM63" s="827"/>
      <c r="AN63" s="828"/>
      <c r="AO63" s="828"/>
      <c r="AP63" s="827"/>
      <c r="AQ63" s="830">
        <f t="shared" si="9"/>
        <v>198950</v>
      </c>
      <c r="AR63" s="830">
        <f>100000+55000+25000</f>
        <v>180000</v>
      </c>
      <c r="AS63" s="827">
        <v>18950</v>
      </c>
      <c r="AT63" s="828"/>
      <c r="AU63" s="828"/>
      <c r="AV63" s="828"/>
      <c r="AW63" s="828"/>
      <c r="AX63" s="828"/>
      <c r="AY63" s="828"/>
      <c r="AZ63" s="827">
        <f t="shared" si="10"/>
        <v>0</v>
      </c>
      <c r="BA63" s="827"/>
      <c r="BB63" s="828"/>
      <c r="BC63" s="828"/>
      <c r="BD63" s="827"/>
      <c r="BE63" s="827"/>
      <c r="BF63" s="827"/>
      <c r="BG63" s="827"/>
      <c r="BH63" s="830">
        <f t="shared" si="26"/>
        <v>42090</v>
      </c>
      <c r="BI63" s="830">
        <v>6040</v>
      </c>
      <c r="BJ63" s="830">
        <v>6050</v>
      </c>
      <c r="BK63" s="830"/>
      <c r="BL63" s="830"/>
      <c r="BM63" s="828"/>
      <c r="BN63" s="828"/>
      <c r="BO63" s="827">
        <f t="shared" si="0"/>
        <v>30000</v>
      </c>
      <c r="BP63" s="828"/>
      <c r="BQ63" s="827">
        <v>30000</v>
      </c>
      <c r="BR63" s="829">
        <f t="shared" si="11"/>
        <v>2501190</v>
      </c>
      <c r="BS63" s="758" t="e">
        <f>#REF!</f>
        <v>#REF!</v>
      </c>
      <c r="BT63" s="759" t="e">
        <f t="shared" si="27"/>
        <v>#REF!</v>
      </c>
      <c r="BU63" s="759">
        <f>AQ63-дод5.1!D2992</f>
        <v>0</v>
      </c>
      <c r="BV63" s="758" t="e">
        <f>#REF!</f>
        <v>#REF!</v>
      </c>
      <c r="BW63" s="759" t="e">
        <f t="shared" si="28"/>
        <v>#REF!</v>
      </c>
      <c r="BX63" s="760">
        <f>BH63-дод5.1!E2992</f>
        <v>0</v>
      </c>
      <c r="CA63" s="760" t="b">
        <f t="shared" si="29"/>
        <v>1</v>
      </c>
      <c r="CC63" s="761">
        <f t="shared" si="30"/>
        <v>241040</v>
      </c>
      <c r="CD63" s="501" t="e">
        <f t="shared" si="12"/>
        <v>#REF!</v>
      </c>
    </row>
    <row r="64" spans="1:82" s="463" customFormat="1">
      <c r="A64" s="772" t="s">
        <v>863</v>
      </c>
      <c r="B64" s="773" t="s">
        <v>51</v>
      </c>
      <c r="C64" s="827">
        <v>4387700</v>
      </c>
      <c r="D64" s="827">
        <v>3378500</v>
      </c>
      <c r="E64" s="827">
        <v>1009200</v>
      </c>
      <c r="F64" s="828"/>
      <c r="G64" s="828"/>
      <c r="H64" s="828"/>
      <c r="I64" s="828"/>
      <c r="J64" s="827"/>
      <c r="K64" s="827"/>
      <c r="L64" s="828"/>
      <c r="M64" s="827">
        <f t="shared" si="5"/>
        <v>0</v>
      </c>
      <c r="N64" s="827"/>
      <c r="O64" s="827"/>
      <c r="P64" s="827"/>
      <c r="Q64" s="827">
        <v>119400</v>
      </c>
      <c r="R64" s="827"/>
      <c r="S64" s="827">
        <v>6900</v>
      </c>
      <c r="T64" s="827">
        <f>571200-54000+100000+80000</f>
        <v>697200</v>
      </c>
      <c r="U64" s="828"/>
      <c r="V64" s="828"/>
      <c r="W64" s="827">
        <f t="shared" si="6"/>
        <v>0</v>
      </c>
      <c r="X64" s="828"/>
      <c r="Y64" s="828"/>
      <c r="Z64" s="828"/>
      <c r="AA64" s="827">
        <f t="shared" si="7"/>
        <v>146950</v>
      </c>
      <c r="AB64" s="827">
        <v>33600</v>
      </c>
      <c r="AC64" s="827">
        <v>113350</v>
      </c>
      <c r="AD64" s="827">
        <f t="shared" si="8"/>
        <v>559930</v>
      </c>
      <c r="AE64" s="827">
        <v>21930</v>
      </c>
      <c r="AF64" s="827">
        <v>236300</v>
      </c>
      <c r="AG64" s="827">
        <v>184400</v>
      </c>
      <c r="AH64" s="827">
        <v>117300</v>
      </c>
      <c r="AI64" s="978">
        <f t="shared" si="18"/>
        <v>538000</v>
      </c>
      <c r="AJ64" s="827"/>
      <c r="AK64" s="828"/>
      <c r="AL64" s="827"/>
      <c r="AM64" s="827"/>
      <c r="AN64" s="828"/>
      <c r="AO64" s="828"/>
      <c r="AP64" s="827"/>
      <c r="AQ64" s="830">
        <f t="shared" si="9"/>
        <v>383879</v>
      </c>
      <c r="AR64" s="830">
        <f>36178+217567+41500+68134</f>
        <v>363379</v>
      </c>
      <c r="AS64" s="827">
        <v>20500</v>
      </c>
      <c r="AT64" s="828"/>
      <c r="AU64" s="828"/>
      <c r="AV64" s="828"/>
      <c r="AW64" s="828"/>
      <c r="AX64" s="828"/>
      <c r="AY64" s="828"/>
      <c r="AZ64" s="827">
        <f t="shared" si="10"/>
        <v>0</v>
      </c>
      <c r="BA64" s="827"/>
      <c r="BB64" s="828"/>
      <c r="BC64" s="828"/>
      <c r="BD64" s="827"/>
      <c r="BE64" s="827"/>
      <c r="BF64" s="827"/>
      <c r="BG64" s="827"/>
      <c r="BH64" s="830">
        <f t="shared" si="26"/>
        <v>441390</v>
      </c>
      <c r="BI64" s="830">
        <f>30100+50290+26500+70000</f>
        <v>176890</v>
      </c>
      <c r="BJ64" s="830">
        <f>55000+29500</f>
        <v>84500</v>
      </c>
      <c r="BK64" s="830">
        <v>180000</v>
      </c>
      <c r="BL64" s="830"/>
      <c r="BM64" s="828"/>
      <c r="BN64" s="828"/>
      <c r="BO64" s="827">
        <f t="shared" si="0"/>
        <v>0</v>
      </c>
      <c r="BP64" s="828"/>
      <c r="BQ64" s="827"/>
      <c r="BR64" s="829">
        <f t="shared" si="11"/>
        <v>6736449</v>
      </c>
      <c r="BS64" s="758" t="e">
        <f>#REF!</f>
        <v>#REF!</v>
      </c>
      <c r="BT64" s="759" t="e">
        <f t="shared" si="27"/>
        <v>#REF!</v>
      </c>
      <c r="BU64" s="759">
        <f>AQ64-дод5.1!D3027</f>
        <v>0</v>
      </c>
      <c r="BV64" s="758" t="e">
        <f>#REF!</f>
        <v>#REF!</v>
      </c>
      <c r="BW64" s="759" t="e">
        <f t="shared" si="28"/>
        <v>#REF!</v>
      </c>
      <c r="BX64" s="760">
        <f>BH64-дод5.1!E3027</f>
        <v>0</v>
      </c>
      <c r="CA64" s="760" t="b">
        <f t="shared" si="29"/>
        <v>1</v>
      </c>
      <c r="CC64" s="761">
        <f t="shared" si="30"/>
        <v>825269</v>
      </c>
      <c r="CD64" s="501" t="e">
        <f t="shared" si="12"/>
        <v>#REF!</v>
      </c>
    </row>
    <row r="65" spans="1:82" s="463" customFormat="1">
      <c r="A65" s="772" t="s">
        <v>864</v>
      </c>
      <c r="B65" s="773" t="s">
        <v>52</v>
      </c>
      <c r="C65" s="827">
        <v>6697600</v>
      </c>
      <c r="D65" s="827">
        <f>5157200+249000</f>
        <v>5406200</v>
      </c>
      <c r="E65" s="827">
        <f>1540400-249000</f>
        <v>1291400</v>
      </c>
      <c r="F65" s="828"/>
      <c r="G65" s="828"/>
      <c r="H65" s="828"/>
      <c r="I65" s="828"/>
      <c r="J65" s="827"/>
      <c r="K65" s="827"/>
      <c r="L65" s="828"/>
      <c r="M65" s="827">
        <f t="shared" si="5"/>
        <v>0</v>
      </c>
      <c r="N65" s="827"/>
      <c r="O65" s="827"/>
      <c r="P65" s="827"/>
      <c r="Q65" s="827">
        <v>130300</v>
      </c>
      <c r="R65" s="827"/>
      <c r="S65" s="827">
        <v>8200</v>
      </c>
      <c r="T65" s="827">
        <f>414100+100000+50000+10000</f>
        <v>574100</v>
      </c>
      <c r="U65" s="828"/>
      <c r="V65" s="828"/>
      <c r="W65" s="827">
        <f t="shared" si="6"/>
        <v>1673400</v>
      </c>
      <c r="X65" s="828"/>
      <c r="Y65" s="827">
        <f>673400+1000000</f>
        <v>1673400</v>
      </c>
      <c r="Z65" s="827"/>
      <c r="AA65" s="827">
        <f t="shared" si="7"/>
        <v>117400</v>
      </c>
      <c r="AB65" s="827">
        <f>157200-39800</f>
        <v>117400</v>
      </c>
      <c r="AC65" s="827"/>
      <c r="AD65" s="827">
        <f t="shared" si="8"/>
        <v>557330</v>
      </c>
      <c r="AE65" s="827">
        <v>21930</v>
      </c>
      <c r="AF65" s="827">
        <v>231600</v>
      </c>
      <c r="AG65" s="827">
        <v>186500</v>
      </c>
      <c r="AH65" s="827">
        <v>117300</v>
      </c>
      <c r="AI65" s="978">
        <f t="shared" si="18"/>
        <v>535400</v>
      </c>
      <c r="AJ65" s="827"/>
      <c r="AK65" s="827"/>
      <c r="AL65" s="827"/>
      <c r="AM65" s="827"/>
      <c r="AN65" s="828"/>
      <c r="AO65" s="828"/>
      <c r="AP65" s="827">
        <v>261511.4</v>
      </c>
      <c r="AQ65" s="830">
        <f t="shared" si="9"/>
        <v>1084919</v>
      </c>
      <c r="AR65" s="830">
        <f>96000+36000+72432+141605+258882</f>
        <v>604919</v>
      </c>
      <c r="AS65" s="827">
        <f>350000+30000+100000</f>
        <v>480000</v>
      </c>
      <c r="AT65" s="828"/>
      <c r="AU65" s="828"/>
      <c r="AV65" s="828"/>
      <c r="AW65" s="828"/>
      <c r="AX65" s="828"/>
      <c r="AY65" s="828"/>
      <c r="AZ65" s="827">
        <f t="shared" si="10"/>
        <v>0</v>
      </c>
      <c r="BA65" s="827"/>
      <c r="BB65" s="828"/>
      <c r="BC65" s="828"/>
      <c r="BD65" s="827"/>
      <c r="BE65" s="827"/>
      <c r="BF65" s="827"/>
      <c r="BG65" s="827"/>
      <c r="BH65" s="830">
        <f t="shared" si="26"/>
        <v>329000</v>
      </c>
      <c r="BI65" s="830">
        <f>50000+50000+24000</f>
        <v>124000</v>
      </c>
      <c r="BJ65" s="830">
        <f>35000+70000</f>
        <v>105000</v>
      </c>
      <c r="BK65" s="830"/>
      <c r="BL65" s="830"/>
      <c r="BM65" s="828"/>
      <c r="BN65" s="828"/>
      <c r="BO65" s="827">
        <f t="shared" si="0"/>
        <v>100000</v>
      </c>
      <c r="BP65" s="828"/>
      <c r="BQ65" s="827">
        <v>100000</v>
      </c>
      <c r="BR65" s="829">
        <f t="shared" si="11"/>
        <v>11425560.4</v>
      </c>
      <c r="BS65" s="758" t="e">
        <f>#REF!</f>
        <v>#REF!</v>
      </c>
      <c r="BT65" s="759" t="e">
        <f t="shared" si="27"/>
        <v>#REF!</v>
      </c>
      <c r="BU65" s="759">
        <f>AQ65-дод5.1!D3079</f>
        <v>0</v>
      </c>
      <c r="BV65" s="758" t="e">
        <f>#REF!</f>
        <v>#REF!</v>
      </c>
      <c r="BW65" s="759" t="e">
        <f t="shared" si="28"/>
        <v>#REF!</v>
      </c>
      <c r="BX65" s="760">
        <f>BH65-дод5.1!E3079</f>
        <v>0</v>
      </c>
      <c r="CA65" s="760" t="b">
        <f t="shared" si="29"/>
        <v>1</v>
      </c>
      <c r="CC65" s="761">
        <f t="shared" si="30"/>
        <v>1413919</v>
      </c>
      <c r="CD65" s="501" t="e">
        <f t="shared" si="12"/>
        <v>#REF!</v>
      </c>
    </row>
    <row r="66" spans="1:82" s="463" customFormat="1">
      <c r="A66" s="772" t="s">
        <v>865</v>
      </c>
      <c r="B66" s="773" t="s">
        <v>53</v>
      </c>
      <c r="C66" s="827">
        <v>2006800</v>
      </c>
      <c r="D66" s="827">
        <v>1545200</v>
      </c>
      <c r="E66" s="827">
        <v>461600</v>
      </c>
      <c r="F66" s="828"/>
      <c r="G66" s="828"/>
      <c r="H66" s="828"/>
      <c r="I66" s="828"/>
      <c r="J66" s="827"/>
      <c r="K66" s="827"/>
      <c r="L66" s="828"/>
      <c r="M66" s="827">
        <f t="shared" si="5"/>
        <v>0</v>
      </c>
      <c r="N66" s="827"/>
      <c r="O66" s="827"/>
      <c r="P66" s="827"/>
      <c r="Q66" s="827">
        <v>39500</v>
      </c>
      <c r="R66" s="827"/>
      <c r="S66" s="827">
        <v>3800</v>
      </c>
      <c r="T66" s="827"/>
      <c r="U66" s="828"/>
      <c r="V66" s="828"/>
      <c r="W66" s="827">
        <f t="shared" si="6"/>
        <v>0</v>
      </c>
      <c r="X66" s="828"/>
      <c r="Y66" s="828"/>
      <c r="Z66" s="828"/>
      <c r="AA66" s="827">
        <f t="shared" si="7"/>
        <v>16800</v>
      </c>
      <c r="AB66" s="827">
        <v>16800</v>
      </c>
      <c r="AC66" s="827"/>
      <c r="AD66" s="827">
        <f t="shared" si="8"/>
        <v>129800</v>
      </c>
      <c r="AE66" s="827">
        <v>5900</v>
      </c>
      <c r="AF66" s="827">
        <v>55600</v>
      </c>
      <c r="AG66" s="827">
        <v>47000</v>
      </c>
      <c r="AH66" s="827">
        <v>21300</v>
      </c>
      <c r="AI66" s="978">
        <f t="shared" si="18"/>
        <v>123900</v>
      </c>
      <c r="AJ66" s="827"/>
      <c r="AK66" s="828"/>
      <c r="AL66" s="827"/>
      <c r="AM66" s="827"/>
      <c r="AN66" s="828"/>
      <c r="AO66" s="828"/>
      <c r="AP66" s="827"/>
      <c r="AQ66" s="830">
        <f t="shared" si="9"/>
        <v>634164</v>
      </c>
      <c r="AR66" s="830">
        <f>15000+115798+142605+60761</f>
        <v>334164</v>
      </c>
      <c r="AS66" s="827">
        <f>300000</f>
        <v>300000</v>
      </c>
      <c r="AT66" s="828"/>
      <c r="AU66" s="828"/>
      <c r="AV66" s="828"/>
      <c r="AW66" s="828"/>
      <c r="AX66" s="828"/>
      <c r="AY66" s="828"/>
      <c r="AZ66" s="827">
        <f t="shared" si="10"/>
        <v>0</v>
      </c>
      <c r="BA66" s="827"/>
      <c r="BB66" s="828"/>
      <c r="BC66" s="828"/>
      <c r="BD66" s="827"/>
      <c r="BE66" s="827"/>
      <c r="BF66" s="827"/>
      <c r="BG66" s="827"/>
      <c r="BH66" s="830">
        <f t="shared" si="26"/>
        <v>690000</v>
      </c>
      <c r="BI66" s="830">
        <f>15000+45000+30000</f>
        <v>90000</v>
      </c>
      <c r="BJ66" s="830">
        <v>600000</v>
      </c>
      <c r="BK66" s="830"/>
      <c r="BL66" s="830"/>
      <c r="BM66" s="828"/>
      <c r="BN66" s="828"/>
      <c r="BO66" s="827">
        <f t="shared" si="0"/>
        <v>0</v>
      </c>
      <c r="BP66" s="828"/>
      <c r="BQ66" s="827"/>
      <c r="BR66" s="829">
        <f t="shared" si="11"/>
        <v>3517064</v>
      </c>
      <c r="BS66" s="758" t="e">
        <f>#REF!</f>
        <v>#REF!</v>
      </c>
      <c r="BT66" s="759" t="e">
        <f t="shared" si="27"/>
        <v>#REF!</v>
      </c>
      <c r="BU66" s="759">
        <f>AQ66-дод5.1!D3114</f>
        <v>0</v>
      </c>
      <c r="BV66" s="758" t="e">
        <f>#REF!</f>
        <v>#REF!</v>
      </c>
      <c r="BW66" s="759" t="e">
        <f t="shared" si="28"/>
        <v>#REF!</v>
      </c>
      <c r="BX66" s="760">
        <f>BH66-дод5.1!E3114</f>
        <v>0</v>
      </c>
      <c r="CA66" s="760" t="b">
        <f t="shared" si="29"/>
        <v>1</v>
      </c>
      <c r="CC66" s="761">
        <f t="shared" si="30"/>
        <v>1324164</v>
      </c>
      <c r="CD66" s="501" t="e">
        <f t="shared" si="12"/>
        <v>#REF!</v>
      </c>
    </row>
    <row r="67" spans="1:82" s="463" customFormat="1">
      <c r="A67" s="772" t="s">
        <v>866</v>
      </c>
      <c r="B67" s="773" t="s">
        <v>137</v>
      </c>
      <c r="C67" s="827">
        <v>1066400</v>
      </c>
      <c r="D67" s="827">
        <v>821100</v>
      </c>
      <c r="E67" s="827">
        <v>245300</v>
      </c>
      <c r="F67" s="828"/>
      <c r="G67" s="828"/>
      <c r="H67" s="828"/>
      <c r="I67" s="828"/>
      <c r="J67" s="827"/>
      <c r="K67" s="827"/>
      <c r="L67" s="828"/>
      <c r="M67" s="827">
        <f t="shared" si="5"/>
        <v>0</v>
      </c>
      <c r="N67" s="827"/>
      <c r="O67" s="827"/>
      <c r="P67" s="827"/>
      <c r="Q67" s="827">
        <v>30200</v>
      </c>
      <c r="R67" s="827"/>
      <c r="S67" s="827">
        <v>1900</v>
      </c>
      <c r="T67" s="827"/>
      <c r="U67" s="828"/>
      <c r="V67" s="828"/>
      <c r="W67" s="827">
        <f t="shared" si="6"/>
        <v>0</v>
      </c>
      <c r="X67" s="828"/>
      <c r="Y67" s="828"/>
      <c r="Z67" s="828"/>
      <c r="AA67" s="827">
        <f t="shared" si="7"/>
        <v>0</v>
      </c>
      <c r="AB67" s="827"/>
      <c r="AC67" s="827"/>
      <c r="AD67" s="827">
        <f t="shared" si="8"/>
        <v>165920</v>
      </c>
      <c r="AE67" s="827">
        <v>8720</v>
      </c>
      <c r="AF67" s="827">
        <v>64900</v>
      </c>
      <c r="AG67" s="827">
        <v>49700</v>
      </c>
      <c r="AH67" s="827">
        <v>42600</v>
      </c>
      <c r="AI67" s="978">
        <f t="shared" si="18"/>
        <v>157200</v>
      </c>
      <c r="AJ67" s="827"/>
      <c r="AK67" s="828"/>
      <c r="AL67" s="827"/>
      <c r="AM67" s="827"/>
      <c r="AN67" s="828"/>
      <c r="AO67" s="828"/>
      <c r="AP67" s="827"/>
      <c r="AQ67" s="830">
        <f t="shared" si="9"/>
        <v>32906</v>
      </c>
      <c r="AR67" s="830">
        <f>5906+12000</f>
        <v>17906</v>
      </c>
      <c r="AS67" s="827">
        <f>15000</f>
        <v>15000</v>
      </c>
      <c r="AT67" s="828"/>
      <c r="AU67" s="828"/>
      <c r="AV67" s="828"/>
      <c r="AW67" s="828"/>
      <c r="AX67" s="828"/>
      <c r="AY67" s="828"/>
      <c r="AZ67" s="827">
        <f t="shared" si="10"/>
        <v>0</v>
      </c>
      <c r="BA67" s="827"/>
      <c r="BB67" s="828"/>
      <c r="BC67" s="828"/>
      <c r="BD67" s="827"/>
      <c r="BE67" s="827"/>
      <c r="BF67" s="827"/>
      <c r="BG67" s="827"/>
      <c r="BH67" s="830">
        <f t="shared" si="26"/>
        <v>68032</v>
      </c>
      <c r="BI67" s="830">
        <f>20000+23032</f>
        <v>43032</v>
      </c>
      <c r="BJ67" s="830">
        <f>25000</f>
        <v>25000</v>
      </c>
      <c r="BK67" s="830"/>
      <c r="BL67" s="830"/>
      <c r="BM67" s="828"/>
      <c r="BN67" s="828"/>
      <c r="BO67" s="827">
        <f t="shared" si="0"/>
        <v>0</v>
      </c>
      <c r="BP67" s="828"/>
      <c r="BQ67" s="827"/>
      <c r="BR67" s="829">
        <f t="shared" si="11"/>
        <v>1363458</v>
      </c>
      <c r="BS67" s="758" t="e">
        <f>#REF!</f>
        <v>#REF!</v>
      </c>
      <c r="BT67" s="759" t="e">
        <f t="shared" si="27"/>
        <v>#REF!</v>
      </c>
      <c r="BU67" s="759">
        <f>AQ67-дод5.1!D3149</f>
        <v>0</v>
      </c>
      <c r="BV67" s="758" t="e">
        <f>#REF!</f>
        <v>#REF!</v>
      </c>
      <c r="BW67" s="759" t="e">
        <f t="shared" si="28"/>
        <v>#REF!</v>
      </c>
      <c r="BX67" s="760">
        <f>BH67-дод5.1!E3149</f>
        <v>0</v>
      </c>
      <c r="CA67" s="760" t="b">
        <f t="shared" si="29"/>
        <v>1</v>
      </c>
      <c r="CC67" s="761">
        <f t="shared" si="30"/>
        <v>100938</v>
      </c>
      <c r="CD67" s="501" t="e">
        <f t="shared" si="12"/>
        <v>#REF!</v>
      </c>
    </row>
    <row r="68" spans="1:82" s="463" customFormat="1">
      <c r="A68" s="772" t="s">
        <v>867</v>
      </c>
      <c r="B68" s="773" t="s">
        <v>54</v>
      </c>
      <c r="C68" s="827">
        <v>1769300</v>
      </c>
      <c r="D68" s="827">
        <v>1362400</v>
      </c>
      <c r="E68" s="827">
        <v>406900</v>
      </c>
      <c r="F68" s="828"/>
      <c r="G68" s="828"/>
      <c r="H68" s="828"/>
      <c r="I68" s="828"/>
      <c r="J68" s="827"/>
      <c r="K68" s="827"/>
      <c r="L68" s="828"/>
      <c r="M68" s="827">
        <f t="shared" si="5"/>
        <v>0</v>
      </c>
      <c r="N68" s="827"/>
      <c r="O68" s="827"/>
      <c r="P68" s="827"/>
      <c r="Q68" s="827">
        <v>36100</v>
      </c>
      <c r="R68" s="827"/>
      <c r="S68" s="827">
        <v>2600</v>
      </c>
      <c r="T68" s="827"/>
      <c r="U68" s="828"/>
      <c r="V68" s="828"/>
      <c r="W68" s="827">
        <f t="shared" si="6"/>
        <v>827800</v>
      </c>
      <c r="X68" s="828"/>
      <c r="Y68" s="827">
        <f>280000+547800</f>
        <v>827800</v>
      </c>
      <c r="Z68" s="827"/>
      <c r="AA68" s="827">
        <f t="shared" si="7"/>
        <v>0</v>
      </c>
      <c r="AB68" s="827"/>
      <c r="AC68" s="827"/>
      <c r="AD68" s="827">
        <f t="shared" si="8"/>
        <v>169830</v>
      </c>
      <c r="AE68" s="827">
        <v>12930</v>
      </c>
      <c r="AF68" s="827">
        <v>64900</v>
      </c>
      <c r="AG68" s="827">
        <v>38700</v>
      </c>
      <c r="AH68" s="827">
        <v>53300</v>
      </c>
      <c r="AI68" s="978">
        <f t="shared" si="18"/>
        <v>156900</v>
      </c>
      <c r="AJ68" s="827"/>
      <c r="AK68" s="828"/>
      <c r="AL68" s="827"/>
      <c r="AM68" s="827"/>
      <c r="AN68" s="828"/>
      <c r="AO68" s="828"/>
      <c r="AP68" s="827"/>
      <c r="AQ68" s="830">
        <f t="shared" si="9"/>
        <v>243672</v>
      </c>
      <c r="AR68" s="830">
        <f>32578+46105+64989</f>
        <v>143672</v>
      </c>
      <c r="AS68" s="827">
        <v>100000</v>
      </c>
      <c r="AT68" s="828"/>
      <c r="AU68" s="828"/>
      <c r="AV68" s="828"/>
      <c r="AW68" s="828"/>
      <c r="AX68" s="828"/>
      <c r="AY68" s="828"/>
      <c r="AZ68" s="827">
        <f t="shared" si="10"/>
        <v>0</v>
      </c>
      <c r="BA68" s="827"/>
      <c r="BB68" s="828"/>
      <c r="BC68" s="828"/>
      <c r="BD68" s="827"/>
      <c r="BE68" s="827"/>
      <c r="BF68" s="827"/>
      <c r="BG68" s="827"/>
      <c r="BH68" s="830">
        <f t="shared" si="26"/>
        <v>69518</v>
      </c>
      <c r="BI68" s="830">
        <f>8000+6500</f>
        <v>14500</v>
      </c>
      <c r="BJ68" s="830"/>
      <c r="BK68" s="830"/>
      <c r="BL68" s="830"/>
      <c r="BM68" s="828"/>
      <c r="BN68" s="827">
        <v>55018</v>
      </c>
      <c r="BO68" s="827">
        <f t="shared" si="0"/>
        <v>0</v>
      </c>
      <c r="BP68" s="828"/>
      <c r="BQ68" s="827"/>
      <c r="BR68" s="829">
        <f t="shared" si="11"/>
        <v>3116220</v>
      </c>
      <c r="BS68" s="758" t="e">
        <f>#REF!</f>
        <v>#REF!</v>
      </c>
      <c r="BT68" s="759" t="e">
        <f t="shared" si="27"/>
        <v>#REF!</v>
      </c>
      <c r="BU68" s="759">
        <f>AQ68-дод5.1!D3184</f>
        <v>0</v>
      </c>
      <c r="BV68" s="758" t="e">
        <f>#REF!</f>
        <v>#REF!</v>
      </c>
      <c r="BW68" s="759" t="e">
        <f t="shared" si="28"/>
        <v>#REF!</v>
      </c>
      <c r="BX68" s="760">
        <f>BH68-дод5.1!E3184</f>
        <v>0</v>
      </c>
      <c r="CA68" s="760" t="b">
        <f t="shared" si="29"/>
        <v>1</v>
      </c>
      <c r="CC68" s="761">
        <f t="shared" si="30"/>
        <v>313190</v>
      </c>
      <c r="CD68" s="501" t="e">
        <f t="shared" si="12"/>
        <v>#REF!</v>
      </c>
    </row>
    <row r="69" spans="1:82" s="463" customFormat="1">
      <c r="A69" s="772" t="s">
        <v>868</v>
      </c>
      <c r="B69" s="773" t="s">
        <v>55</v>
      </c>
      <c r="C69" s="827">
        <v>2186100</v>
      </c>
      <c r="D69" s="827">
        <v>1683300</v>
      </c>
      <c r="E69" s="827">
        <v>502800</v>
      </c>
      <c r="F69" s="828"/>
      <c r="G69" s="828"/>
      <c r="H69" s="828"/>
      <c r="I69" s="828"/>
      <c r="J69" s="827"/>
      <c r="K69" s="827"/>
      <c r="L69" s="828"/>
      <c r="M69" s="827">
        <f t="shared" si="5"/>
        <v>0</v>
      </c>
      <c r="N69" s="827"/>
      <c r="O69" s="827"/>
      <c r="P69" s="827"/>
      <c r="Q69" s="827">
        <v>45000</v>
      </c>
      <c r="R69" s="827"/>
      <c r="S69" s="827">
        <v>1400</v>
      </c>
      <c r="T69" s="827"/>
      <c r="U69" s="828"/>
      <c r="V69" s="828"/>
      <c r="W69" s="827">
        <f t="shared" si="6"/>
        <v>617400</v>
      </c>
      <c r="X69" s="828"/>
      <c r="Y69" s="827">
        <f>122900+494500</f>
        <v>617400</v>
      </c>
      <c r="Z69" s="827"/>
      <c r="AA69" s="827">
        <f t="shared" si="7"/>
        <v>67100</v>
      </c>
      <c r="AB69" s="827">
        <f>157200-90100</f>
        <v>67100</v>
      </c>
      <c r="AC69" s="827"/>
      <c r="AD69" s="827">
        <f t="shared" si="8"/>
        <v>187930</v>
      </c>
      <c r="AE69" s="827">
        <v>12930</v>
      </c>
      <c r="AF69" s="827">
        <v>74100</v>
      </c>
      <c r="AG69" s="827">
        <v>58300</v>
      </c>
      <c r="AH69" s="827">
        <v>42600</v>
      </c>
      <c r="AI69" s="978">
        <f t="shared" si="18"/>
        <v>175000</v>
      </c>
      <c r="AJ69" s="827"/>
      <c r="AK69" s="827"/>
      <c r="AL69" s="827"/>
      <c r="AM69" s="827"/>
      <c r="AN69" s="828"/>
      <c r="AO69" s="828"/>
      <c r="AP69" s="827"/>
      <c r="AQ69" s="830">
        <f t="shared" si="9"/>
        <v>98000</v>
      </c>
      <c r="AR69" s="830">
        <f>20000+33000+35000</f>
        <v>88000</v>
      </c>
      <c r="AS69" s="827">
        <v>10000</v>
      </c>
      <c r="AT69" s="828"/>
      <c r="AU69" s="828"/>
      <c r="AV69" s="828"/>
      <c r="AW69" s="828"/>
      <c r="AX69" s="828"/>
      <c r="AY69" s="828"/>
      <c r="AZ69" s="827">
        <f t="shared" si="10"/>
        <v>0</v>
      </c>
      <c r="BA69" s="827"/>
      <c r="BB69" s="828"/>
      <c r="BC69" s="828"/>
      <c r="BD69" s="827"/>
      <c r="BE69" s="827"/>
      <c r="BF69" s="827"/>
      <c r="BG69" s="827"/>
      <c r="BH69" s="830">
        <f t="shared" si="26"/>
        <v>121851</v>
      </c>
      <c r="BI69" s="830">
        <f>35000+46851</f>
        <v>81851</v>
      </c>
      <c r="BJ69" s="830"/>
      <c r="BK69" s="830"/>
      <c r="BL69" s="830"/>
      <c r="BM69" s="828"/>
      <c r="BN69" s="828"/>
      <c r="BO69" s="827">
        <f t="shared" si="0"/>
        <v>40000</v>
      </c>
      <c r="BP69" s="828"/>
      <c r="BQ69" s="827">
        <f>50000-10000</f>
        <v>40000</v>
      </c>
      <c r="BR69" s="829">
        <f t="shared" si="11"/>
        <v>3323381</v>
      </c>
      <c r="BS69" s="758" t="e">
        <f>#REF!</f>
        <v>#REF!</v>
      </c>
      <c r="BT69" s="759" t="e">
        <f t="shared" si="27"/>
        <v>#REF!</v>
      </c>
      <c r="BU69" s="759">
        <f>AQ69-дод5.1!D3219</f>
        <v>0</v>
      </c>
      <c r="BV69" s="758" t="e">
        <f>#REF!</f>
        <v>#REF!</v>
      </c>
      <c r="BW69" s="759" t="e">
        <f t="shared" si="28"/>
        <v>#REF!</v>
      </c>
      <c r="BX69" s="760">
        <f>BH69-дод5.1!E3219</f>
        <v>0</v>
      </c>
      <c r="CA69" s="760" t="b">
        <f t="shared" si="29"/>
        <v>1</v>
      </c>
      <c r="CC69" s="761">
        <f t="shared" si="30"/>
        <v>219851</v>
      </c>
      <c r="CD69" s="501" t="e">
        <f t="shared" si="12"/>
        <v>#REF!</v>
      </c>
    </row>
    <row r="70" spans="1:82" s="463" customFormat="1">
      <c r="A70" s="772" t="s">
        <v>869</v>
      </c>
      <c r="B70" s="773" t="s">
        <v>361</v>
      </c>
      <c r="C70" s="827">
        <v>1443400</v>
      </c>
      <c r="D70" s="827">
        <v>1111400</v>
      </c>
      <c r="E70" s="827">
        <v>332000</v>
      </c>
      <c r="F70" s="828"/>
      <c r="G70" s="828"/>
      <c r="H70" s="828"/>
      <c r="I70" s="828"/>
      <c r="J70" s="827"/>
      <c r="K70" s="827"/>
      <c r="L70" s="828"/>
      <c r="M70" s="827">
        <f t="shared" si="5"/>
        <v>0</v>
      </c>
      <c r="N70" s="827"/>
      <c r="O70" s="827"/>
      <c r="P70" s="827"/>
      <c r="Q70" s="827">
        <v>24500</v>
      </c>
      <c r="R70" s="827"/>
      <c r="S70" s="827">
        <v>600</v>
      </c>
      <c r="T70" s="827"/>
      <c r="U70" s="828"/>
      <c r="V70" s="828"/>
      <c r="W70" s="827">
        <f t="shared" si="6"/>
        <v>0</v>
      </c>
      <c r="X70" s="828"/>
      <c r="Y70" s="828"/>
      <c r="Z70" s="828"/>
      <c r="AA70" s="827">
        <f t="shared" si="7"/>
        <v>17700</v>
      </c>
      <c r="AB70" s="827">
        <f>44900-11300-15900</f>
        <v>17700</v>
      </c>
      <c r="AC70" s="827"/>
      <c r="AD70" s="827">
        <f t="shared" si="8"/>
        <v>144530</v>
      </c>
      <c r="AE70" s="827">
        <v>7030</v>
      </c>
      <c r="AF70" s="827">
        <v>55600</v>
      </c>
      <c r="AG70" s="827">
        <v>39300</v>
      </c>
      <c r="AH70" s="827">
        <v>42600</v>
      </c>
      <c r="AI70" s="978">
        <f t="shared" si="18"/>
        <v>137500</v>
      </c>
      <c r="AJ70" s="827"/>
      <c r="AK70" s="828"/>
      <c r="AL70" s="827"/>
      <c r="AM70" s="827"/>
      <c r="AN70" s="828"/>
      <c r="AO70" s="828"/>
      <c r="AP70" s="827"/>
      <c r="AQ70" s="830">
        <f t="shared" si="9"/>
        <v>26197</v>
      </c>
      <c r="AR70" s="830">
        <f>13700+12497</f>
        <v>26197</v>
      </c>
      <c r="AS70" s="827"/>
      <c r="AT70" s="828"/>
      <c r="AU70" s="828"/>
      <c r="AV70" s="828"/>
      <c r="AW70" s="828"/>
      <c r="AX70" s="828"/>
      <c r="AY70" s="828"/>
      <c r="AZ70" s="827">
        <f t="shared" si="10"/>
        <v>0</v>
      </c>
      <c r="BA70" s="827"/>
      <c r="BB70" s="828"/>
      <c r="BC70" s="828"/>
      <c r="BD70" s="827"/>
      <c r="BE70" s="827"/>
      <c r="BF70" s="827"/>
      <c r="BG70" s="827"/>
      <c r="BH70" s="830">
        <f t="shared" si="26"/>
        <v>106085</v>
      </c>
      <c r="BI70" s="830">
        <f>69000+37085</f>
        <v>106085</v>
      </c>
      <c r="BJ70" s="830"/>
      <c r="BK70" s="830"/>
      <c r="BL70" s="830"/>
      <c r="BM70" s="828"/>
      <c r="BN70" s="828"/>
      <c r="BO70" s="827">
        <f t="shared" si="0"/>
        <v>0</v>
      </c>
      <c r="BP70" s="828"/>
      <c r="BQ70" s="827"/>
      <c r="BR70" s="829">
        <f t="shared" si="11"/>
        <v>1762412</v>
      </c>
      <c r="BS70" s="758" t="e">
        <f>#REF!</f>
        <v>#REF!</v>
      </c>
      <c r="BT70" s="759" t="e">
        <f t="shared" si="27"/>
        <v>#REF!</v>
      </c>
      <c r="BU70" s="759">
        <f>AQ70-дод5.1!D3254</f>
        <v>0</v>
      </c>
      <c r="BV70" s="758" t="e">
        <f>#REF!</f>
        <v>#REF!</v>
      </c>
      <c r="BW70" s="759" t="e">
        <f t="shared" si="28"/>
        <v>#REF!</v>
      </c>
      <c r="BX70" s="760">
        <f>BH70-дод5.1!E3254</f>
        <v>0</v>
      </c>
      <c r="CA70" s="760" t="b">
        <f t="shared" si="29"/>
        <v>1</v>
      </c>
      <c r="CC70" s="761">
        <f t="shared" si="30"/>
        <v>132282</v>
      </c>
      <c r="CD70" s="501" t="e">
        <f t="shared" si="12"/>
        <v>#REF!</v>
      </c>
    </row>
    <row r="71" spans="1:82" s="463" customFormat="1">
      <c r="A71" s="772" t="s">
        <v>870</v>
      </c>
      <c r="B71" s="773" t="s">
        <v>130</v>
      </c>
      <c r="C71" s="827">
        <v>1210500</v>
      </c>
      <c r="D71" s="827">
        <v>932100</v>
      </c>
      <c r="E71" s="827">
        <v>278400</v>
      </c>
      <c r="F71" s="828"/>
      <c r="G71" s="828"/>
      <c r="H71" s="828"/>
      <c r="I71" s="828"/>
      <c r="J71" s="827"/>
      <c r="K71" s="827"/>
      <c r="L71" s="828"/>
      <c r="M71" s="827">
        <f t="shared" si="5"/>
        <v>0</v>
      </c>
      <c r="N71" s="827"/>
      <c r="O71" s="827"/>
      <c r="P71" s="827"/>
      <c r="Q71" s="827">
        <v>24100</v>
      </c>
      <c r="R71" s="827"/>
      <c r="S71" s="827">
        <v>1000</v>
      </c>
      <c r="T71" s="827"/>
      <c r="U71" s="828"/>
      <c r="V71" s="828"/>
      <c r="W71" s="827">
        <f t="shared" si="6"/>
        <v>0</v>
      </c>
      <c r="X71" s="828"/>
      <c r="Y71" s="828"/>
      <c r="Z71" s="828"/>
      <c r="AA71" s="827">
        <f t="shared" si="7"/>
        <v>16800</v>
      </c>
      <c r="AB71" s="827">
        <f>22500-5700</f>
        <v>16800</v>
      </c>
      <c r="AC71" s="827"/>
      <c r="AD71" s="827">
        <f t="shared" si="8"/>
        <v>101850</v>
      </c>
      <c r="AE71" s="827">
        <v>8150</v>
      </c>
      <c r="AF71" s="827">
        <v>27800</v>
      </c>
      <c r="AG71" s="827">
        <v>33900</v>
      </c>
      <c r="AH71" s="827">
        <v>32000</v>
      </c>
      <c r="AI71" s="978">
        <f t="shared" si="18"/>
        <v>93700</v>
      </c>
      <c r="AJ71" s="827"/>
      <c r="AK71" s="828"/>
      <c r="AL71" s="827"/>
      <c r="AM71" s="827"/>
      <c r="AN71" s="828"/>
      <c r="AO71" s="828"/>
      <c r="AP71" s="827"/>
      <c r="AQ71" s="830">
        <f t="shared" si="9"/>
        <v>53182</v>
      </c>
      <c r="AR71" s="830">
        <f>39182+14000</f>
        <v>53182</v>
      </c>
      <c r="AS71" s="827"/>
      <c r="AT71" s="828"/>
      <c r="AU71" s="828"/>
      <c r="AV71" s="828"/>
      <c r="AW71" s="828"/>
      <c r="AX71" s="828"/>
      <c r="AY71" s="828"/>
      <c r="AZ71" s="827">
        <f t="shared" si="10"/>
        <v>0</v>
      </c>
      <c r="BA71" s="827"/>
      <c r="BB71" s="828"/>
      <c r="BC71" s="828"/>
      <c r="BD71" s="827"/>
      <c r="BE71" s="827"/>
      <c r="BF71" s="827"/>
      <c r="BG71" s="827"/>
      <c r="BH71" s="830">
        <f t="shared" si="26"/>
        <v>166300</v>
      </c>
      <c r="BI71" s="830">
        <f>166300-14000</f>
        <v>152300</v>
      </c>
      <c r="BJ71" s="830">
        <v>14000</v>
      </c>
      <c r="BK71" s="830"/>
      <c r="BL71" s="830"/>
      <c r="BM71" s="828"/>
      <c r="BN71" s="828"/>
      <c r="BO71" s="827">
        <f t="shared" si="0"/>
        <v>0</v>
      </c>
      <c r="BP71" s="828"/>
      <c r="BQ71" s="827"/>
      <c r="BR71" s="829">
        <f t="shared" si="11"/>
        <v>1572732</v>
      </c>
      <c r="BS71" s="758" t="e">
        <f>#REF!</f>
        <v>#REF!</v>
      </c>
      <c r="BT71" s="759" t="e">
        <f t="shared" si="27"/>
        <v>#REF!</v>
      </c>
      <c r="BU71" s="759">
        <f>AQ71-дод5.1!D3289</f>
        <v>0</v>
      </c>
      <c r="BV71" s="758" t="e">
        <f>#REF!</f>
        <v>#REF!</v>
      </c>
      <c r="BW71" s="759" t="e">
        <f t="shared" si="28"/>
        <v>#REF!</v>
      </c>
      <c r="BX71" s="760">
        <f>BH71-дод5.1!E3289</f>
        <v>0</v>
      </c>
      <c r="CA71" s="760" t="b">
        <f t="shared" si="29"/>
        <v>1</v>
      </c>
      <c r="CC71" s="761">
        <f t="shared" si="30"/>
        <v>219482</v>
      </c>
      <c r="CD71" s="501" t="e">
        <f t="shared" si="12"/>
        <v>#REF!</v>
      </c>
    </row>
    <row r="72" spans="1:82" s="463" customFormat="1">
      <c r="A72" s="755" t="s">
        <v>871</v>
      </c>
      <c r="B72" s="773" t="s">
        <v>131</v>
      </c>
      <c r="C72" s="827">
        <v>1299200</v>
      </c>
      <c r="D72" s="827">
        <v>1000400</v>
      </c>
      <c r="E72" s="827">
        <v>298800</v>
      </c>
      <c r="F72" s="828"/>
      <c r="G72" s="828"/>
      <c r="H72" s="828"/>
      <c r="I72" s="828"/>
      <c r="J72" s="827"/>
      <c r="K72" s="827"/>
      <c r="L72" s="828"/>
      <c r="M72" s="827">
        <f t="shared" si="5"/>
        <v>0</v>
      </c>
      <c r="N72" s="827"/>
      <c r="O72" s="827"/>
      <c r="P72" s="827"/>
      <c r="Q72" s="827">
        <v>35600</v>
      </c>
      <c r="R72" s="827"/>
      <c r="S72" s="827">
        <v>3100</v>
      </c>
      <c r="T72" s="827">
        <f>114000-111833.21</f>
        <v>2166.7899999999936</v>
      </c>
      <c r="U72" s="828"/>
      <c r="V72" s="828"/>
      <c r="W72" s="827">
        <f t="shared" si="6"/>
        <v>0</v>
      </c>
      <c r="X72" s="828"/>
      <c r="Y72" s="828"/>
      <c r="Z72" s="828"/>
      <c r="AA72" s="827">
        <f t="shared" si="7"/>
        <v>0</v>
      </c>
      <c r="AB72" s="827"/>
      <c r="AC72" s="827"/>
      <c r="AD72" s="827">
        <f t="shared" si="8"/>
        <v>171320</v>
      </c>
      <c r="AE72" s="827">
        <v>8720</v>
      </c>
      <c r="AF72" s="827">
        <v>69500</v>
      </c>
      <c r="AG72" s="827">
        <v>50500</v>
      </c>
      <c r="AH72" s="827">
        <v>42600</v>
      </c>
      <c r="AI72" s="978">
        <f t="shared" si="18"/>
        <v>162600</v>
      </c>
      <c r="AJ72" s="827"/>
      <c r="AK72" s="828"/>
      <c r="AL72" s="827"/>
      <c r="AM72" s="827"/>
      <c r="AN72" s="828"/>
      <c r="AO72" s="828"/>
      <c r="AP72" s="827"/>
      <c r="AQ72" s="830">
        <f t="shared" si="9"/>
        <v>89774</v>
      </c>
      <c r="AR72" s="830">
        <f>21170+4163+14441</f>
        <v>39774</v>
      </c>
      <c r="AS72" s="827">
        <v>50000</v>
      </c>
      <c r="AT72" s="828"/>
      <c r="AU72" s="828"/>
      <c r="AV72" s="828"/>
      <c r="AW72" s="828"/>
      <c r="AX72" s="828"/>
      <c r="AY72" s="828"/>
      <c r="AZ72" s="827">
        <f t="shared" si="10"/>
        <v>0</v>
      </c>
      <c r="BA72" s="827"/>
      <c r="BB72" s="828"/>
      <c r="BC72" s="828"/>
      <c r="BD72" s="827"/>
      <c r="BE72" s="827"/>
      <c r="BF72" s="827"/>
      <c r="BG72" s="827"/>
      <c r="BH72" s="830">
        <f t="shared" si="26"/>
        <v>73550</v>
      </c>
      <c r="BI72" s="830">
        <f>10000+18550+25000</f>
        <v>53550</v>
      </c>
      <c r="BJ72" s="830">
        <f>20000</f>
        <v>20000</v>
      </c>
      <c r="BK72" s="830"/>
      <c r="BL72" s="830"/>
      <c r="BM72" s="828"/>
      <c r="BN72" s="828"/>
      <c r="BO72" s="827">
        <f t="shared" si="0"/>
        <v>0</v>
      </c>
      <c r="BP72" s="828"/>
      <c r="BQ72" s="827"/>
      <c r="BR72" s="829">
        <f t="shared" si="11"/>
        <v>1671610.79</v>
      </c>
      <c r="BS72" s="758" t="e">
        <f>#REF!</f>
        <v>#REF!</v>
      </c>
      <c r="BT72" s="759" t="e">
        <f t="shared" si="27"/>
        <v>#REF!</v>
      </c>
      <c r="BU72" s="759">
        <f>AQ72-дод5.1!D3324</f>
        <v>0</v>
      </c>
      <c r="BV72" s="758" t="e">
        <f>#REF!</f>
        <v>#REF!</v>
      </c>
      <c r="BW72" s="759" t="e">
        <f t="shared" si="28"/>
        <v>#REF!</v>
      </c>
      <c r="BX72" s="760">
        <f>BH72-дод5.1!E3324</f>
        <v>0</v>
      </c>
      <c r="CA72" s="760" t="b">
        <f t="shared" si="29"/>
        <v>1</v>
      </c>
      <c r="CC72" s="761">
        <f t="shared" si="30"/>
        <v>163324</v>
      </c>
      <c r="CD72" s="501" t="e">
        <f t="shared" si="12"/>
        <v>#REF!</v>
      </c>
    </row>
    <row r="73" spans="1:82" s="463" customFormat="1">
      <c r="A73" s="755" t="s">
        <v>872</v>
      </c>
      <c r="B73" s="773" t="s">
        <v>890</v>
      </c>
      <c r="C73" s="827">
        <v>1417100</v>
      </c>
      <c r="D73" s="827">
        <v>1091200</v>
      </c>
      <c r="E73" s="827">
        <v>325900</v>
      </c>
      <c r="F73" s="828"/>
      <c r="G73" s="828"/>
      <c r="H73" s="828"/>
      <c r="I73" s="828"/>
      <c r="J73" s="827"/>
      <c r="K73" s="827"/>
      <c r="L73" s="828"/>
      <c r="M73" s="827">
        <f t="shared" si="5"/>
        <v>0</v>
      </c>
      <c r="N73" s="827"/>
      <c r="O73" s="827"/>
      <c r="P73" s="827"/>
      <c r="Q73" s="827">
        <v>28400</v>
      </c>
      <c r="R73" s="827"/>
      <c r="S73" s="827">
        <v>3400</v>
      </c>
      <c r="T73" s="827"/>
      <c r="U73" s="828"/>
      <c r="V73" s="828"/>
      <c r="W73" s="827">
        <f t="shared" si="6"/>
        <v>0</v>
      </c>
      <c r="X73" s="828"/>
      <c r="Y73" s="828"/>
      <c r="Z73" s="828"/>
      <c r="AA73" s="827">
        <f t="shared" si="7"/>
        <v>16600</v>
      </c>
      <c r="AB73" s="827">
        <f>22500-5700-200</f>
        <v>16600</v>
      </c>
      <c r="AC73" s="827"/>
      <c r="AD73" s="827">
        <f t="shared" si="8"/>
        <v>157520</v>
      </c>
      <c r="AE73" s="827">
        <v>5620</v>
      </c>
      <c r="AF73" s="827">
        <v>69500</v>
      </c>
      <c r="AG73" s="827">
        <v>39800</v>
      </c>
      <c r="AH73" s="827">
        <v>42600</v>
      </c>
      <c r="AI73" s="978">
        <f t="shared" si="18"/>
        <v>151900</v>
      </c>
      <c r="AJ73" s="827"/>
      <c r="AK73" s="828"/>
      <c r="AL73" s="827"/>
      <c r="AM73" s="827"/>
      <c r="AN73" s="828"/>
      <c r="AO73" s="828"/>
      <c r="AP73" s="827"/>
      <c r="AQ73" s="830">
        <f t="shared" si="9"/>
        <v>119352</v>
      </c>
      <c r="AR73" s="830">
        <f>50000+23500+45852</f>
        <v>119352</v>
      </c>
      <c r="AS73" s="827"/>
      <c r="AT73" s="828"/>
      <c r="AU73" s="828"/>
      <c r="AV73" s="828"/>
      <c r="AW73" s="828"/>
      <c r="AX73" s="828"/>
      <c r="AY73" s="828"/>
      <c r="AZ73" s="827">
        <f t="shared" si="10"/>
        <v>0</v>
      </c>
      <c r="BA73" s="827"/>
      <c r="BB73" s="828"/>
      <c r="BC73" s="828"/>
      <c r="BD73" s="827"/>
      <c r="BE73" s="827"/>
      <c r="BF73" s="827"/>
      <c r="BG73" s="827"/>
      <c r="BH73" s="830">
        <f t="shared" si="26"/>
        <v>20000</v>
      </c>
      <c r="BI73" s="830"/>
      <c r="BJ73" s="830">
        <v>20000</v>
      </c>
      <c r="BK73" s="830"/>
      <c r="BL73" s="830"/>
      <c r="BM73" s="828"/>
      <c r="BN73" s="828"/>
      <c r="BO73" s="827">
        <f t="shared" si="0"/>
        <v>0</v>
      </c>
      <c r="BP73" s="828"/>
      <c r="BQ73" s="827"/>
      <c r="BR73" s="829">
        <f t="shared" si="11"/>
        <v>1758972</v>
      </c>
      <c r="BS73" s="758" t="e">
        <f>#REF!</f>
        <v>#REF!</v>
      </c>
      <c r="BT73" s="759" t="e">
        <f t="shared" si="27"/>
        <v>#REF!</v>
      </c>
      <c r="BU73" s="759">
        <f>AQ73-дод5.1!D3359</f>
        <v>0</v>
      </c>
      <c r="BV73" s="758" t="e">
        <f>#REF!</f>
        <v>#REF!</v>
      </c>
      <c r="BW73" s="759" t="e">
        <f t="shared" si="28"/>
        <v>#REF!</v>
      </c>
      <c r="BX73" s="760">
        <f>BH73-дод5.1!E3359</f>
        <v>0</v>
      </c>
      <c r="CA73" s="760" t="b">
        <f t="shared" si="29"/>
        <v>1</v>
      </c>
      <c r="CC73" s="761">
        <f t="shared" si="30"/>
        <v>139352</v>
      </c>
      <c r="CD73" s="501" t="e">
        <f t="shared" si="12"/>
        <v>#REF!</v>
      </c>
    </row>
    <row r="74" spans="1:82" s="463" customFormat="1">
      <c r="A74" s="755" t="s">
        <v>873</v>
      </c>
      <c r="B74" s="773" t="s">
        <v>133</v>
      </c>
      <c r="C74" s="827">
        <v>1515300</v>
      </c>
      <c r="D74" s="827">
        <f>1166800+100000</f>
        <v>1266800</v>
      </c>
      <c r="E74" s="827">
        <f>348500-100000</f>
        <v>248500</v>
      </c>
      <c r="F74" s="828"/>
      <c r="G74" s="828"/>
      <c r="H74" s="828"/>
      <c r="I74" s="828"/>
      <c r="J74" s="827"/>
      <c r="K74" s="827"/>
      <c r="L74" s="828"/>
      <c r="M74" s="827">
        <f t="shared" si="5"/>
        <v>0</v>
      </c>
      <c r="N74" s="827"/>
      <c r="O74" s="827"/>
      <c r="P74" s="827"/>
      <c r="Q74" s="827">
        <v>38000</v>
      </c>
      <c r="R74" s="827"/>
      <c r="S74" s="827">
        <v>2000</v>
      </c>
      <c r="T74" s="827">
        <v>22480</v>
      </c>
      <c r="U74" s="828"/>
      <c r="V74" s="828"/>
      <c r="W74" s="827">
        <f t="shared" si="6"/>
        <v>0</v>
      </c>
      <c r="X74" s="828"/>
      <c r="Y74" s="828"/>
      <c r="Z74" s="828"/>
      <c r="AA74" s="827">
        <f t="shared" si="7"/>
        <v>23600</v>
      </c>
      <c r="AB74" s="827">
        <f>44900-11300-10000</f>
        <v>23600</v>
      </c>
      <c r="AC74" s="827"/>
      <c r="AD74" s="827">
        <f t="shared" si="8"/>
        <v>230900</v>
      </c>
      <c r="AE74" s="827">
        <v>13500</v>
      </c>
      <c r="AF74" s="827">
        <v>106600</v>
      </c>
      <c r="AG74" s="827">
        <v>46800</v>
      </c>
      <c r="AH74" s="827">
        <v>64000</v>
      </c>
      <c r="AI74" s="978">
        <f t="shared" si="18"/>
        <v>217400</v>
      </c>
      <c r="AJ74" s="827"/>
      <c r="AK74" s="828"/>
      <c r="AL74" s="827"/>
      <c r="AM74" s="827"/>
      <c r="AN74" s="828"/>
      <c r="AO74" s="828"/>
      <c r="AP74" s="827">
        <v>211808</v>
      </c>
      <c r="AQ74" s="830">
        <f t="shared" si="9"/>
        <v>187666</v>
      </c>
      <c r="AR74" s="830">
        <f>89300+10000+35500+44000+8866</f>
        <v>187666</v>
      </c>
      <c r="AS74" s="827"/>
      <c r="AT74" s="828"/>
      <c r="AU74" s="828"/>
      <c r="AV74" s="828"/>
      <c r="AW74" s="828"/>
      <c r="AX74" s="828"/>
      <c r="AY74" s="828"/>
      <c r="AZ74" s="827">
        <f t="shared" si="10"/>
        <v>150000</v>
      </c>
      <c r="BA74" s="827"/>
      <c r="BB74" s="827"/>
      <c r="BC74" s="828"/>
      <c r="BD74" s="827">
        <v>150000</v>
      </c>
      <c r="BE74" s="827"/>
      <c r="BF74" s="827"/>
      <c r="BG74" s="827"/>
      <c r="BH74" s="830">
        <f t="shared" si="26"/>
        <v>52238</v>
      </c>
      <c r="BI74" s="830">
        <f>20000+32238</f>
        <v>52238</v>
      </c>
      <c r="BJ74" s="830"/>
      <c r="BK74" s="830"/>
      <c r="BL74" s="830"/>
      <c r="BM74" s="828"/>
      <c r="BN74" s="828"/>
      <c r="BO74" s="827">
        <f t="shared" si="0"/>
        <v>0</v>
      </c>
      <c r="BP74" s="828"/>
      <c r="BQ74" s="827"/>
      <c r="BR74" s="829">
        <f t="shared" si="11"/>
        <v>2431992</v>
      </c>
      <c r="BS74" s="758" t="e">
        <f>#REF!</f>
        <v>#REF!</v>
      </c>
      <c r="BT74" s="759" t="e">
        <f t="shared" si="27"/>
        <v>#REF!</v>
      </c>
      <c r="BU74" s="759">
        <f>AQ74-дод5.1!D3394</f>
        <v>0</v>
      </c>
      <c r="BV74" s="758" t="e">
        <f>#REF!</f>
        <v>#REF!</v>
      </c>
      <c r="BW74" s="759" t="e">
        <f t="shared" si="28"/>
        <v>#REF!</v>
      </c>
      <c r="BX74" s="760">
        <f>BH74-дод5.1!E3394</f>
        <v>0</v>
      </c>
      <c r="CA74" s="760" t="b">
        <f t="shared" si="29"/>
        <v>1</v>
      </c>
      <c r="CC74" s="761">
        <f t="shared" si="30"/>
        <v>239904</v>
      </c>
      <c r="CD74" s="501" t="e">
        <f t="shared" si="12"/>
        <v>#REF!</v>
      </c>
    </row>
    <row r="75" spans="1:82" s="463" customFormat="1">
      <c r="A75" s="755" t="s">
        <v>874</v>
      </c>
      <c r="B75" s="773" t="s">
        <v>134</v>
      </c>
      <c r="C75" s="827">
        <v>3006800</v>
      </c>
      <c r="D75" s="827">
        <v>2315200</v>
      </c>
      <c r="E75" s="827">
        <v>691600</v>
      </c>
      <c r="F75" s="828"/>
      <c r="G75" s="828"/>
      <c r="H75" s="828"/>
      <c r="I75" s="828"/>
      <c r="J75" s="827"/>
      <c r="K75" s="827"/>
      <c r="L75" s="828"/>
      <c r="M75" s="827">
        <f t="shared" si="5"/>
        <v>0</v>
      </c>
      <c r="N75" s="827"/>
      <c r="O75" s="827"/>
      <c r="P75" s="827"/>
      <c r="Q75" s="827">
        <v>104200</v>
      </c>
      <c r="R75" s="827"/>
      <c r="S75" s="827">
        <v>6300</v>
      </c>
      <c r="T75" s="827">
        <f>235700+50000+25000</f>
        <v>310700</v>
      </c>
      <c r="U75" s="828"/>
      <c r="V75" s="828"/>
      <c r="W75" s="827">
        <f t="shared" si="6"/>
        <v>0</v>
      </c>
      <c r="X75" s="828"/>
      <c r="Y75" s="828"/>
      <c r="Z75" s="828"/>
      <c r="AA75" s="827">
        <f t="shared" si="7"/>
        <v>134200</v>
      </c>
      <c r="AB75" s="827">
        <f>112300+21900</f>
        <v>134200</v>
      </c>
      <c r="AC75" s="827"/>
      <c r="AD75" s="827">
        <f t="shared" si="8"/>
        <v>243830</v>
      </c>
      <c r="AE75" s="827">
        <v>11530</v>
      </c>
      <c r="AF75" s="827">
        <v>92700</v>
      </c>
      <c r="AG75" s="827">
        <v>86300</v>
      </c>
      <c r="AH75" s="827">
        <v>53300</v>
      </c>
      <c r="AI75" s="978">
        <f t="shared" si="18"/>
        <v>232300</v>
      </c>
      <c r="AJ75" s="827"/>
      <c r="AK75" s="828"/>
      <c r="AL75" s="827"/>
      <c r="AM75" s="827"/>
      <c r="AN75" s="828"/>
      <c r="AO75" s="828"/>
      <c r="AP75" s="827"/>
      <c r="AQ75" s="830">
        <f t="shared" si="9"/>
        <v>85000</v>
      </c>
      <c r="AR75" s="830">
        <f>40000+20000</f>
        <v>60000</v>
      </c>
      <c r="AS75" s="827">
        <f>25000</f>
        <v>25000</v>
      </c>
      <c r="AT75" s="828"/>
      <c r="AU75" s="828"/>
      <c r="AV75" s="828"/>
      <c r="AW75" s="828"/>
      <c r="AX75" s="828"/>
      <c r="AY75" s="828"/>
      <c r="AZ75" s="827">
        <f t="shared" si="10"/>
        <v>0</v>
      </c>
      <c r="BA75" s="827"/>
      <c r="BB75" s="828"/>
      <c r="BC75" s="828"/>
      <c r="BD75" s="827"/>
      <c r="BE75" s="827"/>
      <c r="BF75" s="827"/>
      <c r="BG75" s="827"/>
      <c r="BH75" s="830">
        <f t="shared" si="26"/>
        <v>285000</v>
      </c>
      <c r="BI75" s="830">
        <v>105000</v>
      </c>
      <c r="BJ75" s="830"/>
      <c r="BK75" s="830">
        <v>180000</v>
      </c>
      <c r="BL75" s="830"/>
      <c r="BM75" s="828"/>
      <c r="BN75" s="828"/>
      <c r="BO75" s="827">
        <f t="shared" si="0"/>
        <v>0</v>
      </c>
      <c r="BP75" s="827"/>
      <c r="BQ75" s="827"/>
      <c r="BR75" s="829">
        <f t="shared" si="11"/>
        <v>4169730</v>
      </c>
      <c r="BS75" s="758" t="e">
        <f>#REF!</f>
        <v>#REF!</v>
      </c>
      <c r="BT75" s="759" t="e">
        <f t="shared" si="27"/>
        <v>#REF!</v>
      </c>
      <c r="BU75" s="759">
        <f>AQ75-дод5.1!D3429</f>
        <v>0</v>
      </c>
      <c r="BV75" s="758" t="e">
        <f>#REF!</f>
        <v>#REF!</v>
      </c>
      <c r="BW75" s="759" t="e">
        <f t="shared" si="28"/>
        <v>#REF!</v>
      </c>
      <c r="BX75" s="760">
        <f>BH75-дод5.1!E3429</f>
        <v>0</v>
      </c>
      <c r="CA75" s="760" t="b">
        <f t="shared" si="29"/>
        <v>1</v>
      </c>
      <c r="CC75" s="761">
        <f t="shared" si="30"/>
        <v>370000</v>
      </c>
      <c r="CD75" s="501" t="e">
        <f t="shared" si="12"/>
        <v>#REF!</v>
      </c>
    </row>
    <row r="76" spans="1:82" s="463" customFormat="1">
      <c r="A76" s="755" t="s">
        <v>875</v>
      </c>
      <c r="B76" s="773" t="s">
        <v>135</v>
      </c>
      <c r="C76" s="827">
        <v>1036500</v>
      </c>
      <c r="D76" s="827">
        <v>798100</v>
      </c>
      <c r="E76" s="827">
        <v>238400</v>
      </c>
      <c r="F76" s="828"/>
      <c r="G76" s="828"/>
      <c r="H76" s="828"/>
      <c r="I76" s="828"/>
      <c r="J76" s="827"/>
      <c r="K76" s="827"/>
      <c r="L76" s="828"/>
      <c r="M76" s="827">
        <f t="shared" si="5"/>
        <v>0</v>
      </c>
      <c r="N76" s="827"/>
      <c r="O76" s="827"/>
      <c r="P76" s="827"/>
      <c r="Q76" s="827">
        <v>53700</v>
      </c>
      <c r="R76" s="827"/>
      <c r="S76" s="827">
        <v>4600</v>
      </c>
      <c r="T76" s="827"/>
      <c r="U76" s="828"/>
      <c r="V76" s="828"/>
      <c r="W76" s="827">
        <f t="shared" si="6"/>
        <v>0</v>
      </c>
      <c r="X76" s="828"/>
      <c r="Y76" s="828"/>
      <c r="Z76" s="828"/>
      <c r="AA76" s="827">
        <f t="shared" si="7"/>
        <v>146950</v>
      </c>
      <c r="AB76" s="827">
        <f>22500+11100</f>
        <v>33600</v>
      </c>
      <c r="AC76" s="827">
        <v>113350</v>
      </c>
      <c r="AD76" s="827">
        <f t="shared" si="8"/>
        <v>235980</v>
      </c>
      <c r="AE76" s="827">
        <v>15180</v>
      </c>
      <c r="AF76" s="827">
        <v>78800</v>
      </c>
      <c r="AG76" s="827">
        <v>78000</v>
      </c>
      <c r="AH76" s="827">
        <v>64000</v>
      </c>
      <c r="AI76" s="978">
        <f t="shared" si="18"/>
        <v>220800</v>
      </c>
      <c r="AJ76" s="827"/>
      <c r="AK76" s="828"/>
      <c r="AL76" s="827"/>
      <c r="AM76" s="827"/>
      <c r="AN76" s="828"/>
      <c r="AO76" s="828"/>
      <c r="AP76" s="827"/>
      <c r="AQ76" s="830">
        <f t="shared" si="9"/>
        <v>0</v>
      </c>
      <c r="AR76" s="830"/>
      <c r="AS76" s="827"/>
      <c r="AT76" s="828"/>
      <c r="AU76" s="828"/>
      <c r="AV76" s="828"/>
      <c r="AW76" s="828"/>
      <c r="AX76" s="828"/>
      <c r="AY76" s="828"/>
      <c r="AZ76" s="827">
        <f t="shared" si="10"/>
        <v>0</v>
      </c>
      <c r="BA76" s="827"/>
      <c r="BB76" s="828"/>
      <c r="BC76" s="828"/>
      <c r="BD76" s="827"/>
      <c r="BE76" s="827"/>
      <c r="BF76" s="827"/>
      <c r="BG76" s="827"/>
      <c r="BH76" s="830">
        <f t="shared" si="26"/>
        <v>115000</v>
      </c>
      <c r="BI76" s="830">
        <v>40000</v>
      </c>
      <c r="BJ76" s="830"/>
      <c r="BK76" s="830"/>
      <c r="BL76" s="830"/>
      <c r="BM76" s="828"/>
      <c r="BN76" s="828"/>
      <c r="BO76" s="827">
        <f t="shared" si="0"/>
        <v>75000</v>
      </c>
      <c r="BP76" s="828"/>
      <c r="BQ76" s="827">
        <v>75000</v>
      </c>
      <c r="BR76" s="829">
        <f t="shared" si="11"/>
        <v>1588130</v>
      </c>
      <c r="BS76" s="758" t="e">
        <f>#REF!</f>
        <v>#REF!</v>
      </c>
      <c r="BT76" s="759" t="e">
        <f t="shared" si="27"/>
        <v>#REF!</v>
      </c>
      <c r="BU76" s="759">
        <f>AQ76-дод5.1!D3464</f>
        <v>0</v>
      </c>
      <c r="BV76" s="758" t="e">
        <f>#REF!</f>
        <v>#REF!</v>
      </c>
      <c r="BW76" s="759" t="e">
        <f t="shared" si="28"/>
        <v>#REF!</v>
      </c>
      <c r="BX76" s="760">
        <f>BH76-дод5.1!E3464</f>
        <v>0</v>
      </c>
      <c r="CA76" s="760" t="b">
        <f t="shared" si="29"/>
        <v>1</v>
      </c>
      <c r="CC76" s="761">
        <f t="shared" si="30"/>
        <v>115000</v>
      </c>
      <c r="CD76" s="501" t="e">
        <f t="shared" si="12"/>
        <v>#REF!</v>
      </c>
    </row>
    <row r="77" spans="1:82" s="463" customFormat="1">
      <c r="A77" s="755" t="s">
        <v>876</v>
      </c>
      <c r="B77" s="773" t="s">
        <v>136</v>
      </c>
      <c r="C77" s="827">
        <v>967000</v>
      </c>
      <c r="D77" s="827">
        <v>744600</v>
      </c>
      <c r="E77" s="827">
        <v>222400</v>
      </c>
      <c r="F77" s="828"/>
      <c r="G77" s="828"/>
      <c r="H77" s="828"/>
      <c r="I77" s="828"/>
      <c r="J77" s="827"/>
      <c r="K77" s="827"/>
      <c r="L77" s="828"/>
      <c r="M77" s="827">
        <f t="shared" si="5"/>
        <v>0</v>
      </c>
      <c r="N77" s="827"/>
      <c r="O77" s="827"/>
      <c r="P77" s="827"/>
      <c r="Q77" s="827">
        <v>36100</v>
      </c>
      <c r="R77" s="827"/>
      <c r="S77" s="827">
        <v>2600</v>
      </c>
      <c r="T77" s="827"/>
      <c r="U77" s="828"/>
      <c r="V77" s="828"/>
      <c r="W77" s="827">
        <f t="shared" si="6"/>
        <v>0</v>
      </c>
      <c r="X77" s="828"/>
      <c r="Y77" s="828"/>
      <c r="Z77" s="828"/>
      <c r="AA77" s="827">
        <f t="shared" si="7"/>
        <v>50300</v>
      </c>
      <c r="AB77" s="827">
        <f>22500+27800</f>
        <v>50300</v>
      </c>
      <c r="AC77" s="827"/>
      <c r="AD77" s="827">
        <f t="shared" si="8"/>
        <v>210500</v>
      </c>
      <c r="AE77" s="827">
        <v>13500</v>
      </c>
      <c r="AF77" s="827">
        <v>78800</v>
      </c>
      <c r="AG77" s="827">
        <v>54200</v>
      </c>
      <c r="AH77" s="827">
        <v>64000</v>
      </c>
      <c r="AI77" s="978">
        <f t="shared" si="18"/>
        <v>197000</v>
      </c>
      <c r="AJ77" s="827"/>
      <c r="AK77" s="828"/>
      <c r="AL77" s="827"/>
      <c r="AM77" s="827"/>
      <c r="AN77" s="828"/>
      <c r="AO77" s="828"/>
      <c r="AP77" s="827"/>
      <c r="AQ77" s="830">
        <f t="shared" si="9"/>
        <v>23000</v>
      </c>
      <c r="AR77" s="830">
        <v>23000</v>
      </c>
      <c r="AS77" s="827"/>
      <c r="AT77" s="828"/>
      <c r="AU77" s="828"/>
      <c r="AV77" s="828"/>
      <c r="AW77" s="828"/>
      <c r="AX77" s="828"/>
      <c r="AY77" s="828"/>
      <c r="AZ77" s="827">
        <f t="shared" si="10"/>
        <v>0</v>
      </c>
      <c r="BA77" s="827"/>
      <c r="BB77" s="828"/>
      <c r="BC77" s="828"/>
      <c r="BD77" s="827"/>
      <c r="BE77" s="827"/>
      <c r="BF77" s="827"/>
      <c r="BG77" s="827"/>
      <c r="BH77" s="830">
        <f t="shared" si="26"/>
        <v>15000</v>
      </c>
      <c r="BI77" s="830">
        <v>15000</v>
      </c>
      <c r="BJ77" s="830"/>
      <c r="BK77" s="830"/>
      <c r="BL77" s="830"/>
      <c r="BM77" s="828"/>
      <c r="BN77" s="828"/>
      <c r="BO77" s="827">
        <f t="shared" si="0"/>
        <v>0</v>
      </c>
      <c r="BP77" s="828"/>
      <c r="BQ77" s="828"/>
      <c r="BR77" s="829">
        <f t="shared" si="11"/>
        <v>1301900</v>
      </c>
      <c r="BS77" s="758" t="e">
        <f>#REF!</f>
        <v>#REF!</v>
      </c>
      <c r="BT77" s="759" t="e">
        <f t="shared" si="27"/>
        <v>#REF!</v>
      </c>
      <c r="BU77" s="759">
        <f>AQ77-дод5.1!D3499</f>
        <v>0</v>
      </c>
      <c r="BV77" s="758" t="e">
        <f>#REF!</f>
        <v>#REF!</v>
      </c>
      <c r="BW77" s="759" t="e">
        <f t="shared" si="28"/>
        <v>#REF!</v>
      </c>
      <c r="BX77" s="760">
        <f>BH77-дод5.1!E3499</f>
        <v>0</v>
      </c>
      <c r="CA77" s="760" t="b">
        <f t="shared" si="29"/>
        <v>1</v>
      </c>
      <c r="CC77" s="761">
        <f t="shared" si="30"/>
        <v>38000</v>
      </c>
      <c r="CD77" s="501" t="e">
        <f t="shared" si="12"/>
        <v>#REF!</v>
      </c>
    </row>
    <row r="78" spans="1:82" s="463" customFormat="1" ht="23.1" customHeight="1">
      <c r="A78" s="755" t="s">
        <v>877</v>
      </c>
      <c r="B78" s="773" t="s">
        <v>806</v>
      </c>
      <c r="C78" s="827">
        <v>8374300</v>
      </c>
      <c r="D78" s="827">
        <f>6448200+370000</f>
        <v>6818200</v>
      </c>
      <c r="E78" s="827">
        <f>1926100-370000</f>
        <v>1556100</v>
      </c>
      <c r="F78" s="828"/>
      <c r="G78" s="828"/>
      <c r="H78" s="828"/>
      <c r="I78" s="828"/>
      <c r="J78" s="827"/>
      <c r="K78" s="827"/>
      <c r="L78" s="828"/>
      <c r="M78" s="827">
        <f t="shared" si="5"/>
        <v>0</v>
      </c>
      <c r="N78" s="828"/>
      <c r="O78" s="828"/>
      <c r="P78" s="827"/>
      <c r="Q78" s="827">
        <v>161500</v>
      </c>
      <c r="R78" s="827"/>
      <c r="S78" s="827">
        <v>8900</v>
      </c>
      <c r="T78" s="828"/>
      <c r="U78" s="828"/>
      <c r="V78" s="828"/>
      <c r="W78" s="827">
        <f t="shared" si="6"/>
        <v>0</v>
      </c>
      <c r="X78" s="828"/>
      <c r="Y78" s="828"/>
      <c r="Z78" s="828"/>
      <c r="AA78" s="827">
        <f t="shared" si="7"/>
        <v>206050</v>
      </c>
      <c r="AB78" s="827">
        <f>202200-101500-8000</f>
        <v>92700</v>
      </c>
      <c r="AC78" s="827">
        <v>113350</v>
      </c>
      <c r="AD78" s="827">
        <f t="shared" si="8"/>
        <v>813110</v>
      </c>
      <c r="AE78" s="827">
        <v>46110</v>
      </c>
      <c r="AF78" s="827">
        <v>319700</v>
      </c>
      <c r="AG78" s="827">
        <v>223400</v>
      </c>
      <c r="AH78" s="827">
        <v>223900</v>
      </c>
      <c r="AI78" s="978">
        <f t="shared" si="18"/>
        <v>767000</v>
      </c>
      <c r="AJ78" s="827"/>
      <c r="AK78" s="828"/>
      <c r="AL78" s="828"/>
      <c r="AM78" s="828"/>
      <c r="AN78" s="828"/>
      <c r="AO78" s="828"/>
      <c r="AP78" s="828"/>
      <c r="AQ78" s="830">
        <f t="shared" si="9"/>
        <v>255000</v>
      </c>
      <c r="AR78" s="830">
        <f>25000+80000</f>
        <v>105000</v>
      </c>
      <c r="AS78" s="827">
        <v>150000</v>
      </c>
      <c r="AT78" s="828"/>
      <c r="AU78" s="828"/>
      <c r="AV78" s="828"/>
      <c r="AW78" s="828"/>
      <c r="AX78" s="828"/>
      <c r="AY78" s="828"/>
      <c r="AZ78" s="827">
        <f t="shared" si="10"/>
        <v>93444</v>
      </c>
      <c r="BA78" s="827">
        <v>93444</v>
      </c>
      <c r="BB78" s="828"/>
      <c r="BC78" s="828"/>
      <c r="BD78" s="828"/>
      <c r="BE78" s="828"/>
      <c r="BF78" s="828"/>
      <c r="BG78" s="828"/>
      <c r="BH78" s="830">
        <f t="shared" ref="BH78:BH94" si="31">SUM(BI78:BO78)</f>
        <v>716054</v>
      </c>
      <c r="BI78" s="830">
        <f>60000+47800</f>
        <v>107800</v>
      </c>
      <c r="BJ78" s="830">
        <f>175414+70000</f>
        <v>245414</v>
      </c>
      <c r="BK78" s="830">
        <v>180000</v>
      </c>
      <c r="BL78" s="830"/>
      <c r="BM78" s="827">
        <v>100000</v>
      </c>
      <c r="BN78" s="827">
        <v>82840</v>
      </c>
      <c r="BO78" s="827">
        <f t="shared" si="0"/>
        <v>0</v>
      </c>
      <c r="BP78" s="828"/>
      <c r="BQ78" s="828"/>
      <c r="BR78" s="829">
        <f t="shared" si="11"/>
        <v>10619458</v>
      </c>
      <c r="BS78" s="758" t="e">
        <f>#REF!</f>
        <v>#REF!</v>
      </c>
      <c r="BT78" s="759" t="e">
        <f t="shared" si="27"/>
        <v>#REF!</v>
      </c>
      <c r="BU78" s="759">
        <f>AQ78-дод5.1!D3534</f>
        <v>0</v>
      </c>
      <c r="BV78" s="758" t="e">
        <f>#REF!</f>
        <v>#REF!</v>
      </c>
      <c r="BW78" s="759" t="e">
        <f t="shared" si="28"/>
        <v>#REF!</v>
      </c>
      <c r="BX78" s="760">
        <f>BH78-дод5.1!E3534</f>
        <v>0</v>
      </c>
      <c r="CA78" s="760" t="b">
        <f t="shared" si="29"/>
        <v>1</v>
      </c>
      <c r="CC78" s="761">
        <f t="shared" si="30"/>
        <v>971054</v>
      </c>
      <c r="CD78" s="501" t="e">
        <f t="shared" si="12"/>
        <v>#REF!</v>
      </c>
    </row>
    <row r="79" spans="1:82" s="463" customFormat="1" ht="23.1" customHeight="1">
      <c r="A79" s="755" t="s">
        <v>878</v>
      </c>
      <c r="B79" s="773" t="s">
        <v>807</v>
      </c>
      <c r="C79" s="827">
        <v>7208500</v>
      </c>
      <c r="D79" s="827">
        <v>5550500</v>
      </c>
      <c r="E79" s="827">
        <v>1658000</v>
      </c>
      <c r="F79" s="828"/>
      <c r="G79" s="828"/>
      <c r="H79" s="828"/>
      <c r="I79" s="828"/>
      <c r="J79" s="827"/>
      <c r="K79" s="827"/>
      <c r="L79" s="828"/>
      <c r="M79" s="827">
        <f t="shared" si="5"/>
        <v>0</v>
      </c>
      <c r="N79" s="828"/>
      <c r="O79" s="828"/>
      <c r="P79" s="827"/>
      <c r="Q79" s="827">
        <v>142400</v>
      </c>
      <c r="R79" s="827"/>
      <c r="S79" s="827">
        <v>2900</v>
      </c>
      <c r="T79" s="828"/>
      <c r="U79" s="828"/>
      <c r="V79" s="828"/>
      <c r="W79" s="827">
        <f t="shared" si="6"/>
        <v>0</v>
      </c>
      <c r="X79" s="828"/>
      <c r="Y79" s="828"/>
      <c r="Z79" s="828"/>
      <c r="AA79" s="827">
        <f t="shared" si="7"/>
        <v>130150</v>
      </c>
      <c r="AB79" s="827">
        <v>16800</v>
      </c>
      <c r="AC79" s="827">
        <v>113350</v>
      </c>
      <c r="AD79" s="827">
        <f t="shared" si="8"/>
        <v>840890</v>
      </c>
      <c r="AE79" s="827">
        <v>46390</v>
      </c>
      <c r="AF79" s="827">
        <v>338200</v>
      </c>
      <c r="AG79" s="827">
        <v>211100</v>
      </c>
      <c r="AH79" s="827">
        <v>245200</v>
      </c>
      <c r="AI79" s="978">
        <f t="shared" si="18"/>
        <v>794500</v>
      </c>
      <c r="AJ79" s="827"/>
      <c r="AK79" s="828"/>
      <c r="AL79" s="828"/>
      <c r="AM79" s="828"/>
      <c r="AN79" s="828"/>
      <c r="AO79" s="828"/>
      <c r="AP79" s="828"/>
      <c r="AQ79" s="830">
        <f t="shared" si="9"/>
        <v>210266</v>
      </c>
      <c r="AR79" s="830">
        <f>17000+71000+72266+50000</f>
        <v>210266</v>
      </c>
      <c r="AS79" s="827"/>
      <c r="AT79" s="828"/>
      <c r="AU79" s="828"/>
      <c r="AV79" s="828"/>
      <c r="AW79" s="828"/>
      <c r="AX79" s="828"/>
      <c r="AY79" s="828"/>
      <c r="AZ79" s="827">
        <f t="shared" si="10"/>
        <v>0</v>
      </c>
      <c r="BA79" s="827"/>
      <c r="BB79" s="828"/>
      <c r="BC79" s="828"/>
      <c r="BD79" s="828"/>
      <c r="BE79" s="828"/>
      <c r="BF79" s="828"/>
      <c r="BG79" s="828"/>
      <c r="BH79" s="830">
        <f t="shared" si="31"/>
        <v>311200</v>
      </c>
      <c r="BI79" s="830">
        <f>65000+19000+17200</f>
        <v>101200</v>
      </c>
      <c r="BJ79" s="830">
        <f>80000+70000</f>
        <v>150000</v>
      </c>
      <c r="BK79" s="830"/>
      <c r="BL79" s="830"/>
      <c r="BM79" s="828"/>
      <c r="BN79" s="828"/>
      <c r="BO79" s="827">
        <f t="shared" si="0"/>
        <v>60000</v>
      </c>
      <c r="BP79" s="828"/>
      <c r="BQ79" s="827">
        <f>60000</f>
        <v>60000</v>
      </c>
      <c r="BR79" s="829">
        <f t="shared" si="11"/>
        <v>8843406</v>
      </c>
      <c r="BS79" s="758" t="e">
        <f>#REF!</f>
        <v>#REF!</v>
      </c>
      <c r="BT79" s="759" t="e">
        <f t="shared" si="27"/>
        <v>#REF!</v>
      </c>
      <c r="BU79" s="759">
        <f>AQ79-дод5.1!D3569</f>
        <v>0</v>
      </c>
      <c r="BV79" s="758" t="e">
        <f>#REF!</f>
        <v>#REF!</v>
      </c>
      <c r="BW79" s="759" t="e">
        <f t="shared" si="28"/>
        <v>#REF!</v>
      </c>
      <c r="BX79" s="760">
        <f>BH79-дод5.1!E3569</f>
        <v>0</v>
      </c>
      <c r="CA79" s="760" t="b">
        <f t="shared" si="29"/>
        <v>1</v>
      </c>
      <c r="CC79" s="761">
        <f t="shared" si="30"/>
        <v>521466</v>
      </c>
      <c r="CD79" s="501" t="e">
        <f t="shared" si="12"/>
        <v>#REF!</v>
      </c>
    </row>
    <row r="80" spans="1:82" s="463" customFormat="1" ht="23.1" customHeight="1">
      <c r="A80" s="755" t="s">
        <v>879</v>
      </c>
      <c r="B80" s="773" t="s">
        <v>809</v>
      </c>
      <c r="C80" s="827">
        <v>3269500</v>
      </c>
      <c r="D80" s="827">
        <v>2517500</v>
      </c>
      <c r="E80" s="827">
        <v>752000</v>
      </c>
      <c r="F80" s="828"/>
      <c r="G80" s="828"/>
      <c r="H80" s="828"/>
      <c r="I80" s="828"/>
      <c r="J80" s="827"/>
      <c r="K80" s="827"/>
      <c r="L80" s="828"/>
      <c r="M80" s="827">
        <f t="shared" si="5"/>
        <v>0</v>
      </c>
      <c r="N80" s="828"/>
      <c r="O80" s="828"/>
      <c r="P80" s="827"/>
      <c r="Q80" s="827">
        <v>62700</v>
      </c>
      <c r="R80" s="828"/>
      <c r="S80" s="827">
        <v>7400</v>
      </c>
      <c r="T80" s="828"/>
      <c r="U80" s="828"/>
      <c r="V80" s="828"/>
      <c r="W80" s="827">
        <f t="shared" si="6"/>
        <v>0</v>
      </c>
      <c r="X80" s="828"/>
      <c r="Y80" s="828"/>
      <c r="Z80" s="828"/>
      <c r="AA80" s="827">
        <f t="shared" si="7"/>
        <v>102200</v>
      </c>
      <c r="AB80" s="827">
        <f>179700-45500-32000</f>
        <v>102200</v>
      </c>
      <c r="AC80" s="827"/>
      <c r="AD80" s="827">
        <f t="shared" si="8"/>
        <v>293180</v>
      </c>
      <c r="AE80" s="827">
        <v>19680</v>
      </c>
      <c r="AF80" s="827">
        <v>101900</v>
      </c>
      <c r="AG80" s="827">
        <v>75600</v>
      </c>
      <c r="AH80" s="827">
        <v>96000</v>
      </c>
      <c r="AI80" s="978">
        <f t="shared" si="18"/>
        <v>273500</v>
      </c>
      <c r="AJ80" s="827"/>
      <c r="AK80" s="828"/>
      <c r="AL80" s="828"/>
      <c r="AM80" s="828"/>
      <c r="AN80" s="828"/>
      <c r="AO80" s="828"/>
      <c r="AP80" s="828"/>
      <c r="AQ80" s="830">
        <f t="shared" si="9"/>
        <v>9300</v>
      </c>
      <c r="AR80" s="830">
        <v>9300</v>
      </c>
      <c r="AS80" s="827"/>
      <c r="AT80" s="828"/>
      <c r="AU80" s="828"/>
      <c r="AV80" s="828"/>
      <c r="AW80" s="828"/>
      <c r="AX80" s="828"/>
      <c r="AY80" s="828"/>
      <c r="AZ80" s="827">
        <f t="shared" si="10"/>
        <v>0</v>
      </c>
      <c r="BA80" s="827"/>
      <c r="BB80" s="828"/>
      <c r="BC80" s="828"/>
      <c r="BD80" s="828"/>
      <c r="BE80" s="828"/>
      <c r="BF80" s="828"/>
      <c r="BG80" s="828"/>
      <c r="BH80" s="830">
        <f t="shared" si="31"/>
        <v>7700</v>
      </c>
      <c r="BI80" s="830">
        <v>7700</v>
      </c>
      <c r="BJ80" s="830"/>
      <c r="BK80" s="830"/>
      <c r="BL80" s="830"/>
      <c r="BM80" s="828"/>
      <c r="BN80" s="828"/>
      <c r="BO80" s="827">
        <f t="shared" ref="BO80:BO90" si="32">BP80+BQ80</f>
        <v>0</v>
      </c>
      <c r="BP80" s="828"/>
      <c r="BQ80" s="828"/>
      <c r="BR80" s="829">
        <f t="shared" si="11"/>
        <v>3744580</v>
      </c>
      <c r="BS80" s="758" t="e">
        <f>#REF!</f>
        <v>#REF!</v>
      </c>
      <c r="BT80" s="759" t="e">
        <f t="shared" ref="BT80:BT111" si="33">BS80-AQ80</f>
        <v>#REF!</v>
      </c>
      <c r="BU80" s="759">
        <f>AQ80-дод5.1!D3604</f>
        <v>0</v>
      </c>
      <c r="BV80" s="758" t="e">
        <f>#REF!</f>
        <v>#REF!</v>
      </c>
      <c r="BW80" s="759" t="e">
        <f t="shared" ref="BW80:BW111" si="34">BV80-BH80</f>
        <v>#REF!</v>
      </c>
      <c r="BX80" s="760">
        <f>BH80-дод5.1!E3604</f>
        <v>0</v>
      </c>
      <c r="CA80" s="760" t="b">
        <f t="shared" ref="CA80:CA90" si="35">BQ80+BP80=BO80</f>
        <v>1</v>
      </c>
      <c r="CC80" s="761">
        <f t="shared" ref="CC80:CC111" si="36">BH80+AQ80</f>
        <v>17000</v>
      </c>
      <c r="CD80" s="501" t="e">
        <f t="shared" si="12"/>
        <v>#REF!</v>
      </c>
    </row>
    <row r="81" spans="1:82" s="463" customFormat="1" ht="23.1" customHeight="1">
      <c r="A81" s="755" t="s">
        <v>880</v>
      </c>
      <c r="B81" s="773" t="s">
        <v>810</v>
      </c>
      <c r="C81" s="827">
        <v>1748700</v>
      </c>
      <c r="D81" s="827">
        <v>1346500</v>
      </c>
      <c r="E81" s="827">
        <v>402200</v>
      </c>
      <c r="F81" s="828"/>
      <c r="G81" s="828"/>
      <c r="H81" s="828"/>
      <c r="I81" s="828"/>
      <c r="J81" s="827"/>
      <c r="K81" s="827"/>
      <c r="L81" s="828"/>
      <c r="M81" s="827">
        <f t="shared" ref="M81:M117" si="37">SUM(N81:O81)</f>
        <v>0</v>
      </c>
      <c r="N81" s="828"/>
      <c r="O81" s="828"/>
      <c r="P81" s="827"/>
      <c r="Q81" s="827">
        <v>33000</v>
      </c>
      <c r="R81" s="828"/>
      <c r="S81" s="827">
        <v>2700</v>
      </c>
      <c r="T81" s="828"/>
      <c r="U81" s="828"/>
      <c r="V81" s="828"/>
      <c r="W81" s="827">
        <f t="shared" ref="W81:W90" si="38">SUM(X81:Z81)</f>
        <v>0</v>
      </c>
      <c r="X81" s="828"/>
      <c r="Y81" s="828"/>
      <c r="Z81" s="828"/>
      <c r="AA81" s="827">
        <f t="shared" ref="AA81:AA117" si="39">SUM(AB81:AC81)</f>
        <v>25100</v>
      </c>
      <c r="AB81" s="827">
        <f>44900-11300-8500</f>
        <v>25100</v>
      </c>
      <c r="AC81" s="827"/>
      <c r="AD81" s="827">
        <f t="shared" ref="AD81:AD90" si="40">SUM(AE81:AH81)</f>
        <v>193200</v>
      </c>
      <c r="AE81" s="827">
        <v>13500</v>
      </c>
      <c r="AF81" s="827">
        <v>78800</v>
      </c>
      <c r="AG81" s="827">
        <v>36900</v>
      </c>
      <c r="AH81" s="827">
        <v>64000</v>
      </c>
      <c r="AI81" s="978">
        <f t="shared" si="18"/>
        <v>179700</v>
      </c>
      <c r="AJ81" s="827"/>
      <c r="AK81" s="828"/>
      <c r="AL81" s="828"/>
      <c r="AM81" s="828"/>
      <c r="AN81" s="828"/>
      <c r="AO81" s="828"/>
      <c r="AP81" s="828"/>
      <c r="AQ81" s="830">
        <f t="shared" ref="AQ81:AQ90" si="41">SUM(AR81:AW81)</f>
        <v>7341</v>
      </c>
      <c r="AR81" s="830">
        <v>7341</v>
      </c>
      <c r="AS81" s="827"/>
      <c r="AT81" s="828"/>
      <c r="AU81" s="828"/>
      <c r="AV81" s="828"/>
      <c r="AW81" s="828"/>
      <c r="AX81" s="828"/>
      <c r="AY81" s="828"/>
      <c r="AZ81" s="827">
        <f t="shared" ref="AZ81:AZ90" si="42">SUM(BA81:BD81)</f>
        <v>0</v>
      </c>
      <c r="BA81" s="827"/>
      <c r="BB81" s="828"/>
      <c r="BC81" s="828"/>
      <c r="BD81" s="828"/>
      <c r="BE81" s="828"/>
      <c r="BF81" s="828"/>
      <c r="BG81" s="828"/>
      <c r="BH81" s="830">
        <f t="shared" si="31"/>
        <v>44289</v>
      </c>
      <c r="BI81" s="830">
        <v>11100</v>
      </c>
      <c r="BJ81" s="830"/>
      <c r="BK81" s="830"/>
      <c r="BL81" s="830"/>
      <c r="BM81" s="828"/>
      <c r="BN81" s="827">
        <v>33189</v>
      </c>
      <c r="BO81" s="827">
        <f t="shared" si="32"/>
        <v>0</v>
      </c>
      <c r="BP81" s="828"/>
      <c r="BQ81" s="828"/>
      <c r="BR81" s="829">
        <f t="shared" ref="BR81:BR90" si="43">C81+F81+G81+H81+J81+L81+M81+P81+Q81+T81+U81+V81+W81+AA81+AJ81+AK81+AL81+AN81+AO81+AQ81+AX81+AY81+AZ81+BH81+BF81+AP81+BE81+AD81+BG81+K81+I81</f>
        <v>2051630</v>
      </c>
      <c r="BS81" s="758" t="e">
        <f>#REF!</f>
        <v>#REF!</v>
      </c>
      <c r="BT81" s="759" t="e">
        <f t="shared" si="33"/>
        <v>#REF!</v>
      </c>
      <c r="BU81" s="759">
        <f>AQ81-дод5.1!D3639</f>
        <v>0</v>
      </c>
      <c r="BV81" s="758" t="e">
        <f>#REF!</f>
        <v>#REF!</v>
      </c>
      <c r="BW81" s="759" t="e">
        <f t="shared" si="34"/>
        <v>#REF!</v>
      </c>
      <c r="BX81" s="760">
        <f>BH81-дод5.1!E3639</f>
        <v>0</v>
      </c>
      <c r="CA81" s="760" t="b">
        <f t="shared" si="35"/>
        <v>1</v>
      </c>
      <c r="CC81" s="761">
        <f t="shared" si="36"/>
        <v>51630</v>
      </c>
      <c r="CD81" s="501" t="e">
        <f t="shared" ref="CD81:CD118" si="44">CC81-BS81-BV81</f>
        <v>#REF!</v>
      </c>
    </row>
    <row r="82" spans="1:82" s="463" customFormat="1" ht="23.1" customHeight="1">
      <c r="A82" s="755" t="s">
        <v>881</v>
      </c>
      <c r="B82" s="773" t="s">
        <v>811</v>
      </c>
      <c r="C82" s="827">
        <v>3424100</v>
      </c>
      <c r="D82" s="827">
        <f>2636600+320700</f>
        <v>2957300</v>
      </c>
      <c r="E82" s="827">
        <f>787500-320700</f>
        <v>466800</v>
      </c>
      <c r="F82" s="828"/>
      <c r="G82" s="828"/>
      <c r="H82" s="828"/>
      <c r="I82" s="828"/>
      <c r="J82" s="827"/>
      <c r="K82" s="827"/>
      <c r="L82" s="828"/>
      <c r="M82" s="827">
        <f t="shared" si="37"/>
        <v>0</v>
      </c>
      <c r="N82" s="828"/>
      <c r="O82" s="828"/>
      <c r="P82" s="827"/>
      <c r="Q82" s="827">
        <f>981800+62300</f>
        <v>1044100</v>
      </c>
      <c r="R82" s="828"/>
      <c r="S82" s="827">
        <v>1900</v>
      </c>
      <c r="T82" s="828"/>
      <c r="U82" s="828"/>
      <c r="V82" s="828"/>
      <c r="W82" s="827">
        <f t="shared" si="38"/>
        <v>0</v>
      </c>
      <c r="X82" s="828"/>
      <c r="Y82" s="828"/>
      <c r="Z82" s="828"/>
      <c r="AA82" s="827">
        <f t="shared" si="39"/>
        <v>33600</v>
      </c>
      <c r="AB82" s="827">
        <f>67400+16500-50300</f>
        <v>33600</v>
      </c>
      <c r="AC82" s="827"/>
      <c r="AD82" s="827">
        <f t="shared" si="40"/>
        <v>277550</v>
      </c>
      <c r="AE82" s="827">
        <v>17150</v>
      </c>
      <c r="AF82" s="827">
        <v>97300</v>
      </c>
      <c r="AG82" s="827">
        <v>77800</v>
      </c>
      <c r="AH82" s="827">
        <v>85300</v>
      </c>
      <c r="AI82" s="978">
        <f t="shared" si="18"/>
        <v>260400</v>
      </c>
      <c r="AJ82" s="827"/>
      <c r="AK82" s="828"/>
      <c r="AL82" s="828"/>
      <c r="AM82" s="828"/>
      <c r="AN82" s="828"/>
      <c r="AO82" s="828"/>
      <c r="AP82" s="828"/>
      <c r="AQ82" s="830">
        <f t="shared" si="41"/>
        <v>1136296</v>
      </c>
      <c r="AR82" s="830">
        <f>68000+150000+170900+108000+195000+161000+4396</f>
        <v>857296</v>
      </c>
      <c r="AS82" s="827">
        <f>100000+110000+50000-15000+34000</f>
        <v>279000</v>
      </c>
      <c r="AT82" s="828"/>
      <c r="AU82" s="828"/>
      <c r="AV82" s="828"/>
      <c r="AW82" s="828"/>
      <c r="AX82" s="828"/>
      <c r="AY82" s="828"/>
      <c r="AZ82" s="827">
        <f t="shared" si="42"/>
        <v>0</v>
      </c>
      <c r="BA82" s="827"/>
      <c r="BB82" s="828"/>
      <c r="BC82" s="828"/>
      <c r="BD82" s="828"/>
      <c r="BE82" s="828"/>
      <c r="BF82" s="828"/>
      <c r="BG82" s="828"/>
      <c r="BH82" s="830">
        <f t="shared" si="31"/>
        <v>823764</v>
      </c>
      <c r="BI82" s="830">
        <f>22000+96278+15000+128882-4396</f>
        <v>257764</v>
      </c>
      <c r="BJ82" s="830">
        <v>16000</v>
      </c>
      <c r="BK82" s="830"/>
      <c r="BL82" s="830"/>
      <c r="BM82" s="828"/>
      <c r="BN82" s="827">
        <v>550000</v>
      </c>
      <c r="BO82" s="827">
        <f t="shared" si="32"/>
        <v>0</v>
      </c>
      <c r="BP82" s="828"/>
      <c r="BQ82" s="828"/>
      <c r="BR82" s="829">
        <f t="shared" si="43"/>
        <v>6739410</v>
      </c>
      <c r="BS82" s="758" t="e">
        <f>#REF!</f>
        <v>#REF!</v>
      </c>
      <c r="BT82" s="759" t="e">
        <f t="shared" si="33"/>
        <v>#REF!</v>
      </c>
      <c r="BU82" s="759">
        <f>AQ82-дод5.1!D3707</f>
        <v>0</v>
      </c>
      <c r="BV82" s="758" t="e">
        <f>#REF!</f>
        <v>#REF!</v>
      </c>
      <c r="BW82" s="759" t="e">
        <f t="shared" si="34"/>
        <v>#REF!</v>
      </c>
      <c r="BX82" s="760">
        <f>BH82-дод5.1!E3707</f>
        <v>0</v>
      </c>
      <c r="CA82" s="760" t="b">
        <f t="shared" si="35"/>
        <v>1</v>
      </c>
      <c r="CC82" s="761">
        <f t="shared" si="36"/>
        <v>1960060</v>
      </c>
      <c r="CD82" s="501" t="e">
        <f t="shared" si="44"/>
        <v>#REF!</v>
      </c>
    </row>
    <row r="83" spans="1:82" s="463" customFormat="1" ht="23.1" customHeight="1">
      <c r="A83" s="755" t="s">
        <v>882</v>
      </c>
      <c r="B83" s="773" t="s">
        <v>321</v>
      </c>
      <c r="C83" s="827">
        <v>12664600</v>
      </c>
      <c r="D83" s="827">
        <v>9751700</v>
      </c>
      <c r="E83" s="827">
        <v>2912900</v>
      </c>
      <c r="F83" s="828"/>
      <c r="G83" s="828"/>
      <c r="H83" s="828"/>
      <c r="I83" s="828"/>
      <c r="J83" s="827"/>
      <c r="K83" s="827"/>
      <c r="L83" s="828"/>
      <c r="M83" s="827">
        <f t="shared" si="37"/>
        <v>0</v>
      </c>
      <c r="N83" s="828"/>
      <c r="O83" s="828"/>
      <c r="P83" s="827"/>
      <c r="Q83" s="827">
        <f>971700+3847500+2031900</f>
        <v>6851100</v>
      </c>
      <c r="R83" s="827">
        <f>971700+248000</f>
        <v>1219700</v>
      </c>
      <c r="S83" s="827">
        <v>31900</v>
      </c>
      <c r="T83" s="827">
        <f>1730000+100000</f>
        <v>1830000</v>
      </c>
      <c r="U83" s="828"/>
      <c r="V83" s="828"/>
      <c r="W83" s="827">
        <f t="shared" si="38"/>
        <v>0</v>
      </c>
      <c r="X83" s="828"/>
      <c r="Y83" s="828"/>
      <c r="Z83" s="828"/>
      <c r="AA83" s="827">
        <f t="shared" si="39"/>
        <v>400000</v>
      </c>
      <c r="AB83" s="827">
        <f>516600+20400-137000</f>
        <v>400000</v>
      </c>
      <c r="AC83" s="827"/>
      <c r="AD83" s="827">
        <f t="shared" si="40"/>
        <v>1082780</v>
      </c>
      <c r="AE83" s="827">
        <v>37680</v>
      </c>
      <c r="AF83" s="827">
        <v>467900</v>
      </c>
      <c r="AG83" s="827">
        <v>396000</v>
      </c>
      <c r="AH83" s="827">
        <v>181200</v>
      </c>
      <c r="AI83" s="978">
        <f t="shared" si="18"/>
        <v>1045100</v>
      </c>
      <c r="AJ83" s="827"/>
      <c r="AK83" s="828"/>
      <c r="AL83" s="828"/>
      <c r="AM83" s="828"/>
      <c r="AN83" s="828"/>
      <c r="AO83" s="828"/>
      <c r="AP83" s="828"/>
      <c r="AQ83" s="830">
        <f t="shared" si="41"/>
        <v>942331</v>
      </c>
      <c r="AR83" s="830">
        <f>113278+16700+20000+27478+48000+20000+216278-20000+15000+173605-50000+27610+226382+5000</f>
        <v>839331</v>
      </c>
      <c r="AS83" s="827">
        <f>50000+15000+38000</f>
        <v>103000</v>
      </c>
      <c r="AT83" s="828"/>
      <c r="AU83" s="828"/>
      <c r="AV83" s="828"/>
      <c r="AW83" s="828"/>
      <c r="AX83" s="828"/>
      <c r="AY83" s="828"/>
      <c r="AZ83" s="827">
        <f t="shared" si="42"/>
        <v>0</v>
      </c>
      <c r="BA83" s="827"/>
      <c r="BB83" s="828"/>
      <c r="BC83" s="828"/>
      <c r="BD83" s="828"/>
      <c r="BE83" s="828"/>
      <c r="BF83" s="828"/>
      <c r="BG83" s="827">
        <v>590300</v>
      </c>
      <c r="BH83" s="830">
        <f t="shared" si="31"/>
        <v>1124836</v>
      </c>
      <c r="BI83" s="830">
        <f>15000+7000+17900+36000+15000+30000+20000+195000+202105+22390+309441-5000</f>
        <v>864836</v>
      </c>
      <c r="BJ83" s="830">
        <v>80000</v>
      </c>
      <c r="BK83" s="830">
        <v>180000</v>
      </c>
      <c r="BL83" s="830"/>
      <c r="BM83" s="828"/>
      <c r="BN83" s="827"/>
      <c r="BO83" s="827">
        <f t="shared" si="32"/>
        <v>0</v>
      </c>
      <c r="BP83" s="828"/>
      <c r="BQ83" s="828"/>
      <c r="BR83" s="829">
        <f t="shared" si="43"/>
        <v>25485947</v>
      </c>
      <c r="BS83" s="758" t="e">
        <f>#REF!</f>
        <v>#REF!</v>
      </c>
      <c r="BT83" s="759" t="e">
        <f t="shared" si="33"/>
        <v>#REF!</v>
      </c>
      <c r="BU83" s="759">
        <f>AQ83-дод5.1!D3825</f>
        <v>0</v>
      </c>
      <c r="BV83" s="758" t="e">
        <f>#REF!</f>
        <v>#REF!</v>
      </c>
      <c r="BW83" s="759" t="e">
        <f t="shared" si="34"/>
        <v>#REF!</v>
      </c>
      <c r="BX83" s="760">
        <f>BH83-дод5.1!E3825</f>
        <v>0</v>
      </c>
      <c r="CA83" s="760" t="b">
        <f t="shared" si="35"/>
        <v>1</v>
      </c>
      <c r="CC83" s="761">
        <f t="shared" si="36"/>
        <v>2067167</v>
      </c>
      <c r="CD83" s="501" t="e">
        <f t="shared" si="44"/>
        <v>#REF!</v>
      </c>
    </row>
    <row r="84" spans="1:82" s="463" customFormat="1" ht="23.1" customHeight="1">
      <c r="A84" s="755" t="s">
        <v>883</v>
      </c>
      <c r="B84" s="773" t="s">
        <v>812</v>
      </c>
      <c r="C84" s="827">
        <v>2906300</v>
      </c>
      <c r="D84" s="827">
        <v>2237900</v>
      </c>
      <c r="E84" s="827">
        <v>668400</v>
      </c>
      <c r="F84" s="828"/>
      <c r="G84" s="828"/>
      <c r="H84" s="828"/>
      <c r="I84" s="828"/>
      <c r="J84" s="827"/>
      <c r="K84" s="827"/>
      <c r="L84" s="828"/>
      <c r="M84" s="827">
        <f t="shared" si="37"/>
        <v>0</v>
      </c>
      <c r="N84" s="828"/>
      <c r="O84" s="828"/>
      <c r="P84" s="827"/>
      <c r="Q84" s="827">
        <v>43700</v>
      </c>
      <c r="R84" s="828"/>
      <c r="S84" s="827">
        <v>2200</v>
      </c>
      <c r="T84" s="828"/>
      <c r="U84" s="828"/>
      <c r="V84" s="828"/>
      <c r="W84" s="827">
        <f t="shared" si="38"/>
        <v>0</v>
      </c>
      <c r="X84" s="828"/>
      <c r="Y84" s="828"/>
      <c r="Z84" s="828"/>
      <c r="AA84" s="827">
        <f t="shared" si="39"/>
        <v>0</v>
      </c>
      <c r="AB84" s="827"/>
      <c r="AC84" s="827"/>
      <c r="AD84" s="827">
        <f t="shared" si="40"/>
        <v>265380</v>
      </c>
      <c r="AE84" s="827">
        <v>13780</v>
      </c>
      <c r="AF84" s="827">
        <v>111200</v>
      </c>
      <c r="AG84" s="827">
        <v>76400</v>
      </c>
      <c r="AH84" s="827">
        <v>64000</v>
      </c>
      <c r="AI84" s="978">
        <f t="shared" si="18"/>
        <v>251600</v>
      </c>
      <c r="AJ84" s="827"/>
      <c r="AK84" s="828"/>
      <c r="AL84" s="828"/>
      <c r="AM84" s="828"/>
      <c r="AN84" s="828"/>
      <c r="AO84" s="828"/>
      <c r="AP84" s="828"/>
      <c r="AQ84" s="830">
        <f t="shared" si="41"/>
        <v>121574</v>
      </c>
      <c r="AR84" s="830">
        <f>60000+31574</f>
        <v>91574</v>
      </c>
      <c r="AS84" s="827">
        <v>30000</v>
      </c>
      <c r="AT84" s="828"/>
      <c r="AU84" s="828"/>
      <c r="AV84" s="828"/>
      <c r="AW84" s="828"/>
      <c r="AX84" s="828"/>
      <c r="AY84" s="828"/>
      <c r="AZ84" s="827">
        <f t="shared" si="42"/>
        <v>0</v>
      </c>
      <c r="BA84" s="827"/>
      <c r="BB84" s="828"/>
      <c r="BC84" s="828"/>
      <c r="BD84" s="828"/>
      <c r="BE84" s="828"/>
      <c r="BF84" s="828"/>
      <c r="BG84" s="828"/>
      <c r="BH84" s="830">
        <f t="shared" si="31"/>
        <v>109350</v>
      </c>
      <c r="BI84" s="830">
        <f>35000+40000+34350</f>
        <v>109350</v>
      </c>
      <c r="BJ84" s="830"/>
      <c r="BK84" s="830"/>
      <c r="BL84" s="830"/>
      <c r="BM84" s="828"/>
      <c r="BN84" s="828"/>
      <c r="BO84" s="827">
        <f t="shared" si="32"/>
        <v>0</v>
      </c>
      <c r="BP84" s="828"/>
      <c r="BQ84" s="828"/>
      <c r="BR84" s="829">
        <f t="shared" si="43"/>
        <v>3446304</v>
      </c>
      <c r="BS84" s="758" t="e">
        <f>#REF!</f>
        <v>#REF!</v>
      </c>
      <c r="BT84" s="759" t="e">
        <f t="shared" si="33"/>
        <v>#REF!</v>
      </c>
      <c r="BU84" s="759">
        <f>AQ84-дод5.1!D3860</f>
        <v>0</v>
      </c>
      <c r="BV84" s="758" t="e">
        <f>#REF!</f>
        <v>#REF!</v>
      </c>
      <c r="BW84" s="759" t="e">
        <f t="shared" si="34"/>
        <v>#REF!</v>
      </c>
      <c r="BX84" s="760">
        <f>BH84-дод5.1!E3860</f>
        <v>0</v>
      </c>
      <c r="CA84" s="760" t="b">
        <f t="shared" si="35"/>
        <v>1</v>
      </c>
      <c r="CC84" s="761">
        <f t="shared" si="36"/>
        <v>230924</v>
      </c>
      <c r="CD84" s="501" t="e">
        <f t="shared" si="44"/>
        <v>#REF!</v>
      </c>
    </row>
    <row r="85" spans="1:82" s="463" customFormat="1" ht="23.1" customHeight="1">
      <c r="A85" s="755" t="s">
        <v>884</v>
      </c>
      <c r="B85" s="773" t="s">
        <v>813</v>
      </c>
      <c r="C85" s="827">
        <v>1250000</v>
      </c>
      <c r="D85" s="827">
        <v>962500</v>
      </c>
      <c r="E85" s="827">
        <v>287500</v>
      </c>
      <c r="F85" s="828"/>
      <c r="G85" s="828"/>
      <c r="H85" s="828"/>
      <c r="I85" s="828"/>
      <c r="J85" s="827"/>
      <c r="K85" s="827"/>
      <c r="L85" s="828"/>
      <c r="M85" s="827">
        <f t="shared" si="37"/>
        <v>0</v>
      </c>
      <c r="N85" s="828"/>
      <c r="O85" s="828"/>
      <c r="P85" s="827"/>
      <c r="Q85" s="827">
        <v>19400</v>
      </c>
      <c r="R85" s="828"/>
      <c r="S85" s="827">
        <v>0</v>
      </c>
      <c r="T85" s="828">
        <v>50000</v>
      </c>
      <c r="U85" s="828"/>
      <c r="V85" s="828"/>
      <c r="W85" s="827">
        <f t="shared" si="38"/>
        <v>0</v>
      </c>
      <c r="X85" s="828"/>
      <c r="Y85" s="828"/>
      <c r="Z85" s="828"/>
      <c r="AA85" s="827">
        <f t="shared" si="39"/>
        <v>25800</v>
      </c>
      <c r="AB85" s="827">
        <f>22500+11100-7800</f>
        <v>25800</v>
      </c>
      <c r="AC85" s="827"/>
      <c r="AD85" s="827">
        <f t="shared" si="40"/>
        <v>86900</v>
      </c>
      <c r="AE85" s="827">
        <v>4500</v>
      </c>
      <c r="AF85" s="827">
        <v>37100</v>
      </c>
      <c r="AG85" s="827">
        <v>24000</v>
      </c>
      <c r="AH85" s="827">
        <v>21300</v>
      </c>
      <c r="AI85" s="978">
        <f t="shared" si="18"/>
        <v>82400</v>
      </c>
      <c r="AJ85" s="827"/>
      <c r="AK85" s="828"/>
      <c r="AL85" s="828"/>
      <c r="AM85" s="828"/>
      <c r="AN85" s="828"/>
      <c r="AO85" s="828"/>
      <c r="AP85" s="828"/>
      <c r="AQ85" s="830">
        <f t="shared" si="41"/>
        <v>5000</v>
      </c>
      <c r="AR85" s="830">
        <v>5000</v>
      </c>
      <c r="AS85" s="827"/>
      <c r="AT85" s="828"/>
      <c r="AU85" s="828"/>
      <c r="AV85" s="828"/>
      <c r="AW85" s="828"/>
      <c r="AX85" s="828"/>
      <c r="AY85" s="828"/>
      <c r="AZ85" s="827">
        <f t="shared" si="42"/>
        <v>0</v>
      </c>
      <c r="BA85" s="827"/>
      <c r="BB85" s="828"/>
      <c r="BC85" s="828"/>
      <c r="BD85" s="828"/>
      <c r="BE85" s="828"/>
      <c r="BF85" s="828"/>
      <c r="BG85" s="828"/>
      <c r="BH85" s="830">
        <f t="shared" si="31"/>
        <v>123255</v>
      </c>
      <c r="BI85" s="830">
        <f>33255+10000</f>
        <v>43255</v>
      </c>
      <c r="BJ85" s="830">
        <f>50000+30000</f>
        <v>80000</v>
      </c>
      <c r="BK85" s="830"/>
      <c r="BL85" s="830"/>
      <c r="BM85" s="828"/>
      <c r="BN85" s="828"/>
      <c r="BO85" s="827">
        <f t="shared" si="32"/>
        <v>0</v>
      </c>
      <c r="BP85" s="828"/>
      <c r="BQ85" s="828"/>
      <c r="BR85" s="829">
        <f t="shared" si="43"/>
        <v>1560355</v>
      </c>
      <c r="BS85" s="758" t="e">
        <f>#REF!</f>
        <v>#REF!</v>
      </c>
      <c r="BT85" s="759" t="e">
        <f t="shared" si="33"/>
        <v>#REF!</v>
      </c>
      <c r="BU85" s="759">
        <f>AQ85-дод5.1!D3895</f>
        <v>0</v>
      </c>
      <c r="BV85" s="758" t="e">
        <f>#REF!</f>
        <v>#REF!</v>
      </c>
      <c r="BW85" s="759" t="e">
        <f t="shared" si="34"/>
        <v>#REF!</v>
      </c>
      <c r="BX85" s="760">
        <f>BH85-дод5.1!E3895</f>
        <v>0</v>
      </c>
      <c r="CA85" s="760" t="b">
        <f t="shared" si="35"/>
        <v>1</v>
      </c>
      <c r="CC85" s="761">
        <f t="shared" si="36"/>
        <v>128255</v>
      </c>
      <c r="CD85" s="501" t="e">
        <f t="shared" si="44"/>
        <v>#REF!</v>
      </c>
    </row>
    <row r="86" spans="1:82" s="463" customFormat="1" ht="23.1" customHeight="1">
      <c r="A86" s="755" t="s">
        <v>885</v>
      </c>
      <c r="B86" s="773" t="s">
        <v>814</v>
      </c>
      <c r="C86" s="827">
        <v>1144100</v>
      </c>
      <c r="D86" s="827">
        <v>881000</v>
      </c>
      <c r="E86" s="827">
        <v>263100</v>
      </c>
      <c r="F86" s="828"/>
      <c r="G86" s="828"/>
      <c r="H86" s="828"/>
      <c r="I86" s="828"/>
      <c r="J86" s="827"/>
      <c r="K86" s="827"/>
      <c r="L86" s="828"/>
      <c r="M86" s="827">
        <f t="shared" si="37"/>
        <v>0</v>
      </c>
      <c r="N86" s="828"/>
      <c r="O86" s="828"/>
      <c r="P86" s="827"/>
      <c r="Q86" s="827">
        <v>17800</v>
      </c>
      <c r="R86" s="828"/>
      <c r="S86" s="827">
        <v>900</v>
      </c>
      <c r="T86" s="828"/>
      <c r="U86" s="828"/>
      <c r="V86" s="828"/>
      <c r="W86" s="827">
        <f t="shared" si="38"/>
        <v>302000</v>
      </c>
      <c r="X86" s="828"/>
      <c r="Y86" s="827">
        <f>92100+209900</f>
        <v>302000</v>
      </c>
      <c r="Z86" s="827"/>
      <c r="AA86" s="827">
        <f t="shared" si="39"/>
        <v>0</v>
      </c>
      <c r="AB86" s="827"/>
      <c r="AC86" s="827"/>
      <c r="AD86" s="827">
        <f t="shared" si="40"/>
        <v>124630</v>
      </c>
      <c r="AE86" s="827">
        <v>8430</v>
      </c>
      <c r="AF86" s="827">
        <v>55600</v>
      </c>
      <c r="AG86" s="827">
        <v>28600</v>
      </c>
      <c r="AH86" s="827">
        <v>32000</v>
      </c>
      <c r="AI86" s="978">
        <f t="shared" si="18"/>
        <v>116200</v>
      </c>
      <c r="AJ86" s="827"/>
      <c r="AK86" s="828"/>
      <c r="AL86" s="828"/>
      <c r="AM86" s="828"/>
      <c r="AN86" s="828"/>
      <c r="AO86" s="828"/>
      <c r="AP86" s="828"/>
      <c r="AQ86" s="830">
        <f t="shared" si="41"/>
        <v>100000</v>
      </c>
      <c r="AR86" s="830"/>
      <c r="AS86" s="827">
        <v>100000</v>
      </c>
      <c r="AT86" s="828"/>
      <c r="AU86" s="828"/>
      <c r="AV86" s="828"/>
      <c r="AW86" s="828"/>
      <c r="AX86" s="828"/>
      <c r="AY86" s="828"/>
      <c r="AZ86" s="827">
        <f t="shared" si="42"/>
        <v>0</v>
      </c>
      <c r="BA86" s="827"/>
      <c r="BB86" s="828"/>
      <c r="BC86" s="828"/>
      <c r="BD86" s="828"/>
      <c r="BE86" s="828"/>
      <c r="BF86" s="828"/>
      <c r="BG86" s="828"/>
      <c r="BH86" s="830">
        <f t="shared" si="31"/>
        <v>222600</v>
      </c>
      <c r="BI86" s="830">
        <f>7000+55600</f>
        <v>62600</v>
      </c>
      <c r="BJ86" s="830">
        <f>60000+100000</f>
        <v>160000</v>
      </c>
      <c r="BK86" s="830"/>
      <c r="BL86" s="830"/>
      <c r="BM86" s="828"/>
      <c r="BN86" s="828"/>
      <c r="BO86" s="827">
        <f t="shared" si="32"/>
        <v>0</v>
      </c>
      <c r="BP86" s="828"/>
      <c r="BQ86" s="828"/>
      <c r="BR86" s="829">
        <f t="shared" si="43"/>
        <v>1911130</v>
      </c>
      <c r="BS86" s="758" t="e">
        <f>#REF!</f>
        <v>#REF!</v>
      </c>
      <c r="BT86" s="759" t="e">
        <f t="shared" si="33"/>
        <v>#REF!</v>
      </c>
      <c r="BU86" s="759">
        <f>AQ86-дод5.1!D3930</f>
        <v>0</v>
      </c>
      <c r="BV86" s="758" t="e">
        <f>#REF!</f>
        <v>#REF!</v>
      </c>
      <c r="BW86" s="759" t="e">
        <f t="shared" si="34"/>
        <v>#REF!</v>
      </c>
      <c r="BX86" s="760">
        <f>BH86-дод5.1!E3930</f>
        <v>0</v>
      </c>
      <c r="CA86" s="760" t="b">
        <f t="shared" si="35"/>
        <v>1</v>
      </c>
      <c r="CC86" s="761">
        <f t="shared" si="36"/>
        <v>322600</v>
      </c>
      <c r="CD86" s="501" t="e">
        <f t="shared" si="44"/>
        <v>#REF!</v>
      </c>
    </row>
    <row r="87" spans="1:82" s="463" customFormat="1" ht="23.1" customHeight="1">
      <c r="A87" s="755" t="s">
        <v>886</v>
      </c>
      <c r="B87" s="773" t="s">
        <v>808</v>
      </c>
      <c r="C87" s="827">
        <v>4557700</v>
      </c>
      <c r="D87" s="827">
        <f>3509400+110000</f>
        <v>3619400</v>
      </c>
      <c r="E87" s="827">
        <f>1048300-110000</f>
        <v>938300</v>
      </c>
      <c r="F87" s="828"/>
      <c r="G87" s="828"/>
      <c r="H87" s="828"/>
      <c r="I87" s="828"/>
      <c r="J87" s="827"/>
      <c r="K87" s="827"/>
      <c r="L87" s="828"/>
      <c r="M87" s="827">
        <f t="shared" si="37"/>
        <v>0</v>
      </c>
      <c r="N87" s="828"/>
      <c r="O87" s="828"/>
      <c r="P87" s="827"/>
      <c r="Q87" s="827">
        <v>94500</v>
      </c>
      <c r="R87" s="827"/>
      <c r="S87" s="827">
        <v>6100</v>
      </c>
      <c r="T87" s="828"/>
      <c r="U87" s="828"/>
      <c r="V87" s="828"/>
      <c r="W87" s="827">
        <f t="shared" si="38"/>
        <v>0</v>
      </c>
      <c r="X87" s="828"/>
      <c r="Y87" s="828"/>
      <c r="Z87" s="828"/>
      <c r="AA87" s="827">
        <f t="shared" si="39"/>
        <v>180510</v>
      </c>
      <c r="AB87" s="827">
        <f>112300-11600-33540</f>
        <v>67160</v>
      </c>
      <c r="AC87" s="827">
        <v>113350</v>
      </c>
      <c r="AD87" s="827">
        <f t="shared" si="40"/>
        <v>446370</v>
      </c>
      <c r="AE87" s="827">
        <v>21370</v>
      </c>
      <c r="AF87" s="827">
        <v>180700</v>
      </c>
      <c r="AG87" s="827">
        <v>148300</v>
      </c>
      <c r="AH87" s="827">
        <v>96000</v>
      </c>
      <c r="AI87" s="978">
        <f t="shared" ref="AI87:AI94" si="45">SUM(AF87:AH87)</f>
        <v>425000</v>
      </c>
      <c r="AJ87" s="827"/>
      <c r="AK87" s="828"/>
      <c r="AL87" s="828"/>
      <c r="AM87" s="828"/>
      <c r="AN87" s="828"/>
      <c r="AO87" s="828"/>
      <c r="AP87" s="827">
        <v>315675</v>
      </c>
      <c r="AQ87" s="830">
        <f t="shared" si="41"/>
        <v>404000</v>
      </c>
      <c r="AR87" s="830">
        <f>68000+111000-18000+33000+55000+40000</f>
        <v>289000</v>
      </c>
      <c r="AS87" s="827">
        <f>80000+35000</f>
        <v>115000</v>
      </c>
      <c r="AT87" s="828"/>
      <c r="AU87" s="828"/>
      <c r="AV87" s="828"/>
      <c r="AW87" s="828"/>
      <c r="AX87" s="828"/>
      <c r="AY87" s="828"/>
      <c r="AZ87" s="827">
        <f t="shared" si="42"/>
        <v>0</v>
      </c>
      <c r="BA87" s="827"/>
      <c r="BB87" s="828"/>
      <c r="BC87" s="828"/>
      <c r="BD87" s="828"/>
      <c r="BE87" s="828"/>
      <c r="BF87" s="828"/>
      <c r="BG87" s="828"/>
      <c r="BH87" s="830">
        <f t="shared" si="31"/>
        <v>567578</v>
      </c>
      <c r="BI87" s="830">
        <f>53000+18000+16078+188000+112500-40000</f>
        <v>347578</v>
      </c>
      <c r="BJ87" s="830">
        <f>40000+35000-35000</f>
        <v>40000</v>
      </c>
      <c r="BK87" s="830">
        <v>180000</v>
      </c>
      <c r="BL87" s="830"/>
      <c r="BM87" s="828"/>
      <c r="BN87" s="828"/>
      <c r="BO87" s="827">
        <f t="shared" si="32"/>
        <v>0</v>
      </c>
      <c r="BP87" s="828"/>
      <c r="BQ87" s="828"/>
      <c r="BR87" s="829">
        <f t="shared" si="43"/>
        <v>6566333</v>
      </c>
      <c r="BS87" s="758" t="e">
        <f>#REF!</f>
        <v>#REF!</v>
      </c>
      <c r="BT87" s="759" t="e">
        <f t="shared" si="33"/>
        <v>#REF!</v>
      </c>
      <c r="BU87" s="759">
        <f>AQ87-дод5.1!D3965</f>
        <v>0</v>
      </c>
      <c r="BV87" s="758" t="e">
        <f>#REF!</f>
        <v>#REF!</v>
      </c>
      <c r="BW87" s="759" t="e">
        <f t="shared" si="34"/>
        <v>#REF!</v>
      </c>
      <c r="BX87" s="760">
        <f>BH87-дод5.1!E3965</f>
        <v>0</v>
      </c>
      <c r="CA87" s="760" t="b">
        <f t="shared" si="35"/>
        <v>1</v>
      </c>
      <c r="CC87" s="761">
        <f t="shared" si="36"/>
        <v>971578</v>
      </c>
      <c r="CD87" s="501" t="e">
        <f t="shared" si="44"/>
        <v>#REF!</v>
      </c>
    </row>
    <row r="88" spans="1:82" s="463" customFormat="1" ht="23.1" customHeight="1">
      <c r="A88" s="755" t="s">
        <v>887</v>
      </c>
      <c r="B88" s="773" t="s">
        <v>805</v>
      </c>
      <c r="C88" s="827">
        <v>8371600</v>
      </c>
      <c r="D88" s="827">
        <v>6446100</v>
      </c>
      <c r="E88" s="827">
        <v>1925500</v>
      </c>
      <c r="F88" s="828"/>
      <c r="G88" s="828"/>
      <c r="H88" s="828"/>
      <c r="I88" s="828"/>
      <c r="J88" s="827"/>
      <c r="K88" s="827"/>
      <c r="L88" s="828"/>
      <c r="M88" s="827">
        <f t="shared" si="37"/>
        <v>0</v>
      </c>
      <c r="N88" s="828"/>
      <c r="O88" s="828"/>
      <c r="P88" s="827">
        <v>81532</v>
      </c>
      <c r="Q88" s="827">
        <f>609100+165000+205500</f>
        <v>979600</v>
      </c>
      <c r="R88" s="827">
        <f>609100+165000</f>
        <v>774100</v>
      </c>
      <c r="S88" s="827">
        <v>16800</v>
      </c>
      <c r="T88" s="827">
        <f>508200+126000+100000</f>
        <v>734200</v>
      </c>
      <c r="U88" s="828"/>
      <c r="V88" s="828"/>
      <c r="W88" s="827">
        <f t="shared" si="38"/>
        <v>0</v>
      </c>
      <c r="X88" s="828"/>
      <c r="Y88" s="828"/>
      <c r="Z88" s="828"/>
      <c r="AA88" s="827">
        <f t="shared" si="39"/>
        <v>314750</v>
      </c>
      <c r="AB88" s="827">
        <f>179700+4900+16800</f>
        <v>201400</v>
      </c>
      <c r="AC88" s="827">
        <v>113350</v>
      </c>
      <c r="AD88" s="827">
        <f t="shared" si="40"/>
        <v>823460</v>
      </c>
      <c r="AE88" s="827">
        <v>28960</v>
      </c>
      <c r="AF88" s="827">
        <v>352100</v>
      </c>
      <c r="AG88" s="827">
        <v>293100</v>
      </c>
      <c r="AH88" s="827">
        <v>149300</v>
      </c>
      <c r="AI88" s="978">
        <f t="shared" si="45"/>
        <v>794500</v>
      </c>
      <c r="AJ88" s="827"/>
      <c r="AK88" s="828"/>
      <c r="AL88" s="828"/>
      <c r="AM88" s="828"/>
      <c r="AN88" s="828"/>
      <c r="AO88" s="828"/>
      <c r="AP88" s="827">
        <v>308000</v>
      </c>
      <c r="AQ88" s="830">
        <f t="shared" si="41"/>
        <v>660193</v>
      </c>
      <c r="AR88" s="830">
        <f>25000+26528+30478+4008+35000+285000+86883+10000+83341</f>
        <v>586238</v>
      </c>
      <c r="AS88" s="827">
        <v>73955</v>
      </c>
      <c r="AT88" s="828"/>
      <c r="AU88" s="828"/>
      <c r="AV88" s="828"/>
      <c r="AW88" s="828"/>
      <c r="AX88" s="828"/>
      <c r="AY88" s="828"/>
      <c r="AZ88" s="827">
        <f t="shared" si="42"/>
        <v>0</v>
      </c>
      <c r="BA88" s="827"/>
      <c r="BB88" s="828"/>
      <c r="BC88" s="828"/>
      <c r="BD88" s="828"/>
      <c r="BE88" s="828"/>
      <c r="BF88" s="828"/>
      <c r="BG88" s="828"/>
      <c r="BH88" s="830">
        <f t="shared" si="31"/>
        <v>485986</v>
      </c>
      <c r="BI88" s="830">
        <f>90508-4008+15000-10000+148441</f>
        <v>239941</v>
      </c>
      <c r="BJ88" s="830">
        <f>50000+50000+46045</f>
        <v>146045</v>
      </c>
      <c r="BK88" s="830"/>
      <c r="BL88" s="830"/>
      <c r="BM88" s="828"/>
      <c r="BN88" s="827"/>
      <c r="BO88" s="827">
        <f t="shared" si="32"/>
        <v>100000</v>
      </c>
      <c r="BP88" s="828"/>
      <c r="BQ88" s="827">
        <f>200000-100000</f>
        <v>100000</v>
      </c>
      <c r="BR88" s="829">
        <f t="shared" si="43"/>
        <v>12759321</v>
      </c>
      <c r="BS88" s="758" t="e">
        <f>#REF!</f>
        <v>#REF!</v>
      </c>
      <c r="BT88" s="759" t="e">
        <f t="shared" si="33"/>
        <v>#REF!</v>
      </c>
      <c r="BU88" s="759">
        <f>AQ88-дод5.1!D4000</f>
        <v>0</v>
      </c>
      <c r="BV88" s="758" t="e">
        <f>#REF!</f>
        <v>#REF!</v>
      </c>
      <c r="BW88" s="759" t="e">
        <f t="shared" si="34"/>
        <v>#REF!</v>
      </c>
      <c r="BX88" s="760">
        <f>BH88-дод5.1!E4000</f>
        <v>0</v>
      </c>
      <c r="CA88" s="760" t="b">
        <f t="shared" si="35"/>
        <v>1</v>
      </c>
      <c r="CC88" s="761">
        <f t="shared" si="36"/>
        <v>1146179</v>
      </c>
      <c r="CD88" s="501" t="e">
        <f t="shared" si="44"/>
        <v>#REF!</v>
      </c>
    </row>
    <row r="89" spans="1:82" s="463" customFormat="1">
      <c r="A89" s="755" t="s">
        <v>888</v>
      </c>
      <c r="B89" s="773" t="s">
        <v>815</v>
      </c>
      <c r="C89" s="827">
        <v>2463600</v>
      </c>
      <c r="D89" s="827">
        <v>1897000</v>
      </c>
      <c r="E89" s="827">
        <v>566600</v>
      </c>
      <c r="F89" s="828"/>
      <c r="G89" s="828"/>
      <c r="H89" s="828"/>
      <c r="I89" s="828"/>
      <c r="J89" s="827"/>
      <c r="K89" s="827"/>
      <c r="L89" s="828"/>
      <c r="M89" s="827">
        <f t="shared" si="37"/>
        <v>0</v>
      </c>
      <c r="N89" s="828"/>
      <c r="O89" s="828"/>
      <c r="P89" s="827"/>
      <c r="Q89" s="827">
        <v>53800</v>
      </c>
      <c r="R89" s="828"/>
      <c r="S89" s="827">
        <v>4600</v>
      </c>
      <c r="T89" s="828"/>
      <c r="U89" s="828"/>
      <c r="V89" s="828"/>
      <c r="W89" s="827">
        <f t="shared" si="38"/>
        <v>0</v>
      </c>
      <c r="X89" s="828"/>
      <c r="Y89" s="828"/>
      <c r="Z89" s="828"/>
      <c r="AA89" s="827">
        <f t="shared" si="39"/>
        <v>55900</v>
      </c>
      <c r="AB89" s="827">
        <f>44900+39000-28000</f>
        <v>55900</v>
      </c>
      <c r="AC89" s="827"/>
      <c r="AD89" s="827">
        <f t="shared" si="40"/>
        <v>187090</v>
      </c>
      <c r="AE89" s="827">
        <v>1690</v>
      </c>
      <c r="AF89" s="827">
        <v>74100</v>
      </c>
      <c r="AG89" s="827">
        <v>58000</v>
      </c>
      <c r="AH89" s="827">
        <v>53300</v>
      </c>
      <c r="AI89" s="978">
        <f t="shared" si="45"/>
        <v>185400</v>
      </c>
      <c r="AJ89" s="827"/>
      <c r="AK89" s="828"/>
      <c r="AL89" s="828"/>
      <c r="AM89" s="828"/>
      <c r="AN89" s="828"/>
      <c r="AO89" s="828"/>
      <c r="AP89" s="828"/>
      <c r="AQ89" s="830">
        <f t="shared" si="41"/>
        <v>124000</v>
      </c>
      <c r="AR89" s="830">
        <f>51000+11000+37000+15000+10000</f>
        <v>124000</v>
      </c>
      <c r="AS89" s="827"/>
      <c r="AT89" s="828"/>
      <c r="AU89" s="828"/>
      <c r="AV89" s="828"/>
      <c r="AW89" s="828"/>
      <c r="AX89" s="828"/>
      <c r="AY89" s="828"/>
      <c r="AZ89" s="827">
        <f t="shared" si="42"/>
        <v>0</v>
      </c>
      <c r="BA89" s="827"/>
      <c r="BB89" s="828"/>
      <c r="BC89" s="828"/>
      <c r="BD89" s="828"/>
      <c r="BE89" s="828"/>
      <c r="BF89" s="828"/>
      <c r="BG89" s="828"/>
      <c r="BH89" s="830">
        <f t="shared" si="31"/>
        <v>103026</v>
      </c>
      <c r="BI89" s="830">
        <f>34000+13000+26026+30000</f>
        <v>103026</v>
      </c>
      <c r="BJ89" s="830"/>
      <c r="BK89" s="830"/>
      <c r="BL89" s="830"/>
      <c r="BM89" s="828"/>
      <c r="BN89" s="828"/>
      <c r="BO89" s="827">
        <f t="shared" si="32"/>
        <v>0</v>
      </c>
      <c r="BP89" s="828"/>
      <c r="BQ89" s="828"/>
      <c r="BR89" s="829">
        <f t="shared" si="43"/>
        <v>2987416</v>
      </c>
      <c r="BS89" s="758" t="e">
        <f>#REF!</f>
        <v>#REF!</v>
      </c>
      <c r="BT89" s="759" t="e">
        <f t="shared" si="33"/>
        <v>#REF!</v>
      </c>
      <c r="BU89" s="759">
        <f>AQ89-дод5.1!D4033</f>
        <v>0</v>
      </c>
      <c r="BV89" s="758" t="e">
        <f>#REF!</f>
        <v>#REF!</v>
      </c>
      <c r="BW89" s="759" t="e">
        <f t="shared" si="34"/>
        <v>#REF!</v>
      </c>
      <c r="BX89" s="760">
        <f>BH89-дод5.1!E4033</f>
        <v>0</v>
      </c>
      <c r="CA89" s="760" t="b">
        <f t="shared" si="35"/>
        <v>1</v>
      </c>
      <c r="CC89" s="761">
        <f t="shared" si="36"/>
        <v>227026</v>
      </c>
      <c r="CD89" s="501" t="e">
        <f t="shared" si="44"/>
        <v>#REF!</v>
      </c>
    </row>
    <row r="90" spans="1:82" s="463" customFormat="1">
      <c r="A90" s="755" t="s">
        <v>889</v>
      </c>
      <c r="B90" s="773" t="s">
        <v>816</v>
      </c>
      <c r="C90" s="827">
        <v>867100</v>
      </c>
      <c r="D90" s="827">
        <v>667700</v>
      </c>
      <c r="E90" s="827">
        <v>199400</v>
      </c>
      <c r="F90" s="828"/>
      <c r="G90" s="828"/>
      <c r="H90" s="828"/>
      <c r="I90" s="828"/>
      <c r="J90" s="827"/>
      <c r="K90" s="827"/>
      <c r="L90" s="828"/>
      <c r="M90" s="827">
        <f t="shared" si="37"/>
        <v>0</v>
      </c>
      <c r="N90" s="828"/>
      <c r="O90" s="828"/>
      <c r="P90" s="828"/>
      <c r="Q90" s="827">
        <v>42400</v>
      </c>
      <c r="R90" s="828"/>
      <c r="S90" s="827">
        <v>2400</v>
      </c>
      <c r="T90" s="828"/>
      <c r="U90" s="828"/>
      <c r="V90" s="828"/>
      <c r="W90" s="827">
        <f t="shared" si="38"/>
        <v>0</v>
      </c>
      <c r="X90" s="828"/>
      <c r="Y90" s="828"/>
      <c r="Z90" s="828"/>
      <c r="AA90" s="827">
        <f t="shared" si="39"/>
        <v>16800</v>
      </c>
      <c r="AB90" s="827">
        <v>16800</v>
      </c>
      <c r="AC90" s="827"/>
      <c r="AD90" s="827">
        <f t="shared" si="40"/>
        <v>157820</v>
      </c>
      <c r="AE90" s="827">
        <v>1120</v>
      </c>
      <c r="AF90" s="827">
        <v>69500</v>
      </c>
      <c r="AG90" s="827">
        <v>44600</v>
      </c>
      <c r="AH90" s="827">
        <v>42600</v>
      </c>
      <c r="AI90" s="978">
        <f t="shared" si="45"/>
        <v>156700</v>
      </c>
      <c r="AJ90" s="827"/>
      <c r="AK90" s="828"/>
      <c r="AL90" s="828"/>
      <c r="AM90" s="828"/>
      <c r="AN90" s="828"/>
      <c r="AO90" s="828"/>
      <c r="AP90" s="828"/>
      <c r="AQ90" s="830">
        <f t="shared" si="41"/>
        <v>10000</v>
      </c>
      <c r="AR90" s="830"/>
      <c r="AS90" s="827">
        <v>10000</v>
      </c>
      <c r="AT90" s="828"/>
      <c r="AU90" s="828"/>
      <c r="AV90" s="828"/>
      <c r="AW90" s="828"/>
      <c r="AX90" s="828"/>
      <c r="AY90" s="828"/>
      <c r="AZ90" s="827">
        <f t="shared" si="42"/>
        <v>0</v>
      </c>
      <c r="BA90" s="827"/>
      <c r="BB90" s="828"/>
      <c r="BC90" s="828"/>
      <c r="BD90" s="828"/>
      <c r="BE90" s="828"/>
      <c r="BF90" s="828"/>
      <c r="BG90" s="828"/>
      <c r="BH90" s="830">
        <f t="shared" si="31"/>
        <v>50000</v>
      </c>
      <c r="BI90" s="830">
        <v>50000</v>
      </c>
      <c r="BJ90" s="830"/>
      <c r="BK90" s="830"/>
      <c r="BL90" s="830"/>
      <c r="BM90" s="828"/>
      <c r="BN90" s="828"/>
      <c r="BO90" s="827">
        <f t="shared" si="32"/>
        <v>0</v>
      </c>
      <c r="BP90" s="828"/>
      <c r="BQ90" s="828"/>
      <c r="BR90" s="829">
        <f t="shared" si="43"/>
        <v>1144120</v>
      </c>
      <c r="BS90" s="758" t="e">
        <f>#REF!</f>
        <v>#REF!</v>
      </c>
      <c r="BT90" s="759" t="e">
        <f t="shared" si="33"/>
        <v>#REF!</v>
      </c>
      <c r="BU90" s="759">
        <f>AQ90-дод5.1!D4068</f>
        <v>0</v>
      </c>
      <c r="BV90" s="758" t="e">
        <f>#REF!</f>
        <v>#REF!</v>
      </c>
      <c r="BW90" s="759" t="e">
        <f t="shared" si="34"/>
        <v>#REF!</v>
      </c>
      <c r="BX90" s="760">
        <f>BH90-дод5.1!E4068</f>
        <v>0</v>
      </c>
      <c r="CA90" s="760" t="b">
        <f t="shared" si="35"/>
        <v>1</v>
      </c>
      <c r="CC90" s="761">
        <f t="shared" si="36"/>
        <v>60000</v>
      </c>
      <c r="CD90" s="501" t="e">
        <f t="shared" si="44"/>
        <v>#REF!</v>
      </c>
    </row>
    <row r="91" spans="1:82" s="463" customFormat="1" ht="23.1" hidden="1" customHeight="1">
      <c r="A91" s="775"/>
      <c r="C91" s="827"/>
      <c r="D91" s="827"/>
      <c r="E91" s="828"/>
      <c r="F91" s="828"/>
      <c r="G91" s="828"/>
      <c r="H91" s="828"/>
      <c r="I91" s="828"/>
      <c r="J91" s="827"/>
      <c r="K91" s="827"/>
      <c r="L91" s="828"/>
      <c r="M91" s="827">
        <f t="shared" si="37"/>
        <v>0</v>
      </c>
      <c r="N91" s="828"/>
      <c r="O91" s="828"/>
      <c r="P91" s="828"/>
      <c r="Q91" s="828"/>
      <c r="R91" s="828"/>
      <c r="S91" s="828"/>
      <c r="T91" s="828"/>
      <c r="U91" s="828"/>
      <c r="V91" s="828"/>
      <c r="W91" s="828"/>
      <c r="X91" s="828"/>
      <c r="Y91" s="828"/>
      <c r="Z91" s="828"/>
      <c r="AA91" s="827">
        <f t="shared" si="39"/>
        <v>0</v>
      </c>
      <c r="AB91" s="828"/>
      <c r="AC91" s="827"/>
      <c r="AD91" s="827"/>
      <c r="AE91" s="827"/>
      <c r="AF91" s="827"/>
      <c r="AG91" s="827"/>
      <c r="AH91" s="827"/>
      <c r="AI91" s="978">
        <f t="shared" si="45"/>
        <v>0</v>
      </c>
      <c r="AJ91" s="827"/>
      <c r="AK91" s="828"/>
      <c r="AL91" s="828"/>
      <c r="AM91" s="828"/>
      <c r="AN91" s="828"/>
      <c r="AO91" s="828"/>
      <c r="AP91" s="828"/>
      <c r="AQ91" s="830">
        <f>SUM(AR91:AU91)</f>
        <v>0</v>
      </c>
      <c r="AR91" s="830"/>
      <c r="AS91" s="830"/>
      <c r="AT91" s="828"/>
      <c r="AU91" s="828"/>
      <c r="AV91" s="828"/>
      <c r="AW91" s="828"/>
      <c r="AX91" s="828"/>
      <c r="AY91" s="828"/>
      <c r="AZ91" s="827">
        <f>SUM(BB91:BD91)</f>
        <v>0</v>
      </c>
      <c r="BA91" s="827"/>
      <c r="BB91" s="828"/>
      <c r="BC91" s="828"/>
      <c r="BD91" s="828"/>
      <c r="BE91" s="828"/>
      <c r="BF91" s="828"/>
      <c r="BG91" s="828"/>
      <c r="BH91" s="830">
        <f t="shared" si="31"/>
        <v>0</v>
      </c>
      <c r="BI91" s="830"/>
      <c r="BJ91" s="830"/>
      <c r="BK91" s="830"/>
      <c r="BL91" s="830"/>
      <c r="BM91" s="828"/>
      <c r="BN91" s="828"/>
      <c r="BO91" s="828"/>
      <c r="BP91" s="828"/>
      <c r="BQ91" s="828"/>
      <c r="BR91" s="829">
        <f>C91+F91+G91+H91+J91+L91+M91+P91+Q91+T91+U91+V91+W91+AA91+AJ91+AK91+AL91+AN91+AO91+AQ91+AX91+AY91+AZ91+BH91+BF91+AP91</f>
        <v>0</v>
      </c>
      <c r="BS91" s="758" t="e">
        <f>#REF!</f>
        <v>#REF!</v>
      </c>
      <c r="BT91" s="759" t="e">
        <f t="shared" si="33"/>
        <v>#REF!</v>
      </c>
      <c r="BU91" s="759" t="b">
        <f>AQ91=дод5.1!D3513</f>
        <v>0</v>
      </c>
      <c r="BV91" s="758" t="e">
        <f>#REF!</f>
        <v>#REF!</v>
      </c>
      <c r="BW91" s="759" t="e">
        <f t="shared" si="34"/>
        <v>#REF!</v>
      </c>
      <c r="BX91" s="760" t="e">
        <f>BH91=дод5.1!#REF!</f>
        <v>#REF!</v>
      </c>
      <c r="CA91" s="760" t="b">
        <f t="shared" ref="CA91:CA118" si="46">BQ91+BP91=BO91</f>
        <v>1</v>
      </c>
      <c r="CC91" s="761">
        <f t="shared" si="36"/>
        <v>0</v>
      </c>
      <c r="CD91" s="501" t="e">
        <f t="shared" si="44"/>
        <v>#REF!</v>
      </c>
    </row>
    <row r="92" spans="1:82" s="463" customFormat="1" ht="23.1" hidden="1" customHeight="1">
      <c r="A92" s="775"/>
      <c r="B92" s="711"/>
      <c r="C92" s="827"/>
      <c r="D92" s="827"/>
      <c r="E92" s="828"/>
      <c r="F92" s="828"/>
      <c r="G92" s="828"/>
      <c r="H92" s="828"/>
      <c r="I92" s="828"/>
      <c r="J92" s="827"/>
      <c r="K92" s="827"/>
      <c r="L92" s="828"/>
      <c r="M92" s="827">
        <f t="shared" si="37"/>
        <v>0</v>
      </c>
      <c r="N92" s="828"/>
      <c r="O92" s="828"/>
      <c r="P92" s="828"/>
      <c r="Q92" s="828"/>
      <c r="R92" s="828"/>
      <c r="S92" s="828"/>
      <c r="T92" s="828"/>
      <c r="U92" s="828"/>
      <c r="V92" s="828"/>
      <c r="W92" s="828"/>
      <c r="X92" s="828"/>
      <c r="Y92" s="828"/>
      <c r="Z92" s="828"/>
      <c r="AA92" s="827">
        <f t="shared" si="39"/>
        <v>0</v>
      </c>
      <c r="AB92" s="828"/>
      <c r="AC92" s="827"/>
      <c r="AD92" s="827"/>
      <c r="AE92" s="827"/>
      <c r="AF92" s="827"/>
      <c r="AG92" s="827"/>
      <c r="AH92" s="827"/>
      <c r="AI92" s="978">
        <f t="shared" si="45"/>
        <v>0</v>
      </c>
      <c r="AJ92" s="827"/>
      <c r="AK92" s="828"/>
      <c r="AL92" s="828"/>
      <c r="AM92" s="828"/>
      <c r="AN92" s="828"/>
      <c r="AO92" s="828"/>
      <c r="AP92" s="828"/>
      <c r="AQ92" s="830">
        <f>SUM(AR92:AU92)</f>
        <v>0</v>
      </c>
      <c r="AR92" s="830"/>
      <c r="AS92" s="830"/>
      <c r="AT92" s="828"/>
      <c r="AU92" s="828"/>
      <c r="AV92" s="828"/>
      <c r="AW92" s="828"/>
      <c r="AX92" s="828"/>
      <c r="AY92" s="828"/>
      <c r="AZ92" s="827">
        <f>SUM(BB92:BD92)</f>
        <v>0</v>
      </c>
      <c r="BA92" s="827"/>
      <c r="BB92" s="828"/>
      <c r="BC92" s="828"/>
      <c r="BD92" s="828"/>
      <c r="BE92" s="828"/>
      <c r="BF92" s="828"/>
      <c r="BG92" s="828"/>
      <c r="BH92" s="830">
        <f t="shared" si="31"/>
        <v>0</v>
      </c>
      <c r="BI92" s="830"/>
      <c r="BJ92" s="830"/>
      <c r="BK92" s="830"/>
      <c r="BL92" s="830"/>
      <c r="BM92" s="828"/>
      <c r="BN92" s="828"/>
      <c r="BO92" s="828"/>
      <c r="BP92" s="828"/>
      <c r="BQ92" s="828"/>
      <c r="BR92" s="829">
        <f>C92+F92+G92+H92+J92+L92+M92+P92+Q92+T92+U92+V92+W92+AA92+AJ92+AK92+AL92+AN92+AO92+AQ92+AX92+AY92+AZ92+BH92+BF92+AP92</f>
        <v>0</v>
      </c>
      <c r="BS92" s="758" t="e">
        <f>#REF!</f>
        <v>#REF!</v>
      </c>
      <c r="BT92" s="759" t="e">
        <f t="shared" si="33"/>
        <v>#REF!</v>
      </c>
      <c r="BU92" s="759" t="b">
        <f>AQ92=дод5.1!D3514</f>
        <v>0</v>
      </c>
      <c r="BV92" s="758" t="e">
        <f>#REF!</f>
        <v>#REF!</v>
      </c>
      <c r="BW92" s="759" t="e">
        <f t="shared" si="34"/>
        <v>#REF!</v>
      </c>
      <c r="BX92" s="760" t="e">
        <f>BH92=дод5.1!#REF!</f>
        <v>#REF!</v>
      </c>
      <c r="CA92" s="760" t="b">
        <f t="shared" si="46"/>
        <v>1</v>
      </c>
      <c r="CC92" s="761">
        <f t="shared" si="36"/>
        <v>0</v>
      </c>
      <c r="CD92" s="501" t="e">
        <f t="shared" si="44"/>
        <v>#REF!</v>
      </c>
    </row>
    <row r="93" spans="1:82" s="463" customFormat="1" ht="23.1" hidden="1" customHeight="1">
      <c r="A93" s="775"/>
      <c r="B93" s="711"/>
      <c r="C93" s="827"/>
      <c r="D93" s="827"/>
      <c r="E93" s="828"/>
      <c r="F93" s="828"/>
      <c r="G93" s="828"/>
      <c r="H93" s="828"/>
      <c r="I93" s="828"/>
      <c r="J93" s="827"/>
      <c r="K93" s="827"/>
      <c r="L93" s="828"/>
      <c r="M93" s="827">
        <f t="shared" si="37"/>
        <v>0</v>
      </c>
      <c r="N93" s="828"/>
      <c r="O93" s="828"/>
      <c r="P93" s="828"/>
      <c r="Q93" s="828"/>
      <c r="R93" s="828"/>
      <c r="S93" s="828"/>
      <c r="T93" s="828"/>
      <c r="U93" s="828"/>
      <c r="V93" s="828"/>
      <c r="W93" s="828"/>
      <c r="X93" s="828"/>
      <c r="Y93" s="828"/>
      <c r="Z93" s="828"/>
      <c r="AA93" s="827">
        <f t="shared" si="39"/>
        <v>0</v>
      </c>
      <c r="AB93" s="828"/>
      <c r="AC93" s="827"/>
      <c r="AD93" s="827"/>
      <c r="AE93" s="827"/>
      <c r="AF93" s="827"/>
      <c r="AG93" s="827"/>
      <c r="AH93" s="827"/>
      <c r="AI93" s="978">
        <f t="shared" si="45"/>
        <v>0</v>
      </c>
      <c r="AJ93" s="827"/>
      <c r="AK93" s="828"/>
      <c r="AL93" s="828"/>
      <c r="AM93" s="828"/>
      <c r="AN93" s="828"/>
      <c r="AO93" s="828"/>
      <c r="AP93" s="828"/>
      <c r="AQ93" s="830">
        <f>SUM(AR93:AU93)</f>
        <v>0</v>
      </c>
      <c r="AR93" s="830"/>
      <c r="AS93" s="830"/>
      <c r="AT93" s="828"/>
      <c r="AU93" s="828"/>
      <c r="AV93" s="828"/>
      <c r="AW93" s="828"/>
      <c r="AX93" s="828"/>
      <c r="AY93" s="828"/>
      <c r="AZ93" s="827">
        <f>SUM(BB93:BD93)</f>
        <v>0</v>
      </c>
      <c r="BA93" s="827"/>
      <c r="BB93" s="828"/>
      <c r="BC93" s="828"/>
      <c r="BD93" s="828"/>
      <c r="BE93" s="828"/>
      <c r="BF93" s="828"/>
      <c r="BG93" s="828"/>
      <c r="BH93" s="830">
        <f t="shared" si="31"/>
        <v>0</v>
      </c>
      <c r="BI93" s="830"/>
      <c r="BJ93" s="830"/>
      <c r="BK93" s="830"/>
      <c r="BL93" s="830"/>
      <c r="BM93" s="828"/>
      <c r="BN93" s="828"/>
      <c r="BO93" s="828"/>
      <c r="BP93" s="828"/>
      <c r="BQ93" s="828"/>
      <c r="BR93" s="829">
        <f>C93+F93+G93+H93+J93+L93+M93+P93+Q93+T93+U93+V93+W93+AA93+AJ93+AK93+AL93+AN93+AO93+AQ93+AX93+AY93+AZ93+BH93+BF93+AP93</f>
        <v>0</v>
      </c>
      <c r="BS93" s="758" t="e">
        <f>#REF!</f>
        <v>#REF!</v>
      </c>
      <c r="BT93" s="759" t="e">
        <f t="shared" si="33"/>
        <v>#REF!</v>
      </c>
      <c r="BU93" s="759" t="b">
        <f>AQ93=дод5.1!D3515</f>
        <v>1</v>
      </c>
      <c r="BV93" s="758" t="e">
        <f>#REF!</f>
        <v>#REF!</v>
      </c>
      <c r="BW93" s="759" t="e">
        <f t="shared" si="34"/>
        <v>#REF!</v>
      </c>
      <c r="BX93" s="760" t="e">
        <f>BH93=дод5.1!#REF!</f>
        <v>#REF!</v>
      </c>
      <c r="CA93" s="760" t="b">
        <f t="shared" si="46"/>
        <v>1</v>
      </c>
      <c r="CC93" s="761">
        <f t="shared" si="36"/>
        <v>0</v>
      </c>
      <c r="CD93" s="501" t="e">
        <f t="shared" si="44"/>
        <v>#REF!</v>
      </c>
    </row>
    <row r="94" spans="1:82" s="463" customFormat="1" ht="23.1" hidden="1" customHeight="1">
      <c r="A94" s="775"/>
      <c r="B94" s="711"/>
      <c r="C94" s="827"/>
      <c r="D94" s="827"/>
      <c r="E94" s="828"/>
      <c r="F94" s="828"/>
      <c r="G94" s="828"/>
      <c r="H94" s="828"/>
      <c r="I94" s="828"/>
      <c r="J94" s="827"/>
      <c r="K94" s="827"/>
      <c r="L94" s="828"/>
      <c r="M94" s="827">
        <f t="shared" si="37"/>
        <v>0</v>
      </c>
      <c r="N94" s="828"/>
      <c r="O94" s="828"/>
      <c r="P94" s="828"/>
      <c r="Q94" s="828"/>
      <c r="R94" s="828"/>
      <c r="S94" s="828"/>
      <c r="T94" s="828"/>
      <c r="U94" s="828"/>
      <c r="V94" s="828"/>
      <c r="W94" s="828"/>
      <c r="X94" s="828"/>
      <c r="Y94" s="828"/>
      <c r="Z94" s="828"/>
      <c r="AA94" s="827">
        <f t="shared" si="39"/>
        <v>0</v>
      </c>
      <c r="AB94" s="828"/>
      <c r="AC94" s="827"/>
      <c r="AD94" s="827"/>
      <c r="AE94" s="827"/>
      <c r="AF94" s="827"/>
      <c r="AG94" s="827"/>
      <c r="AH94" s="827"/>
      <c r="AI94" s="978">
        <f t="shared" si="45"/>
        <v>0</v>
      </c>
      <c r="AJ94" s="827"/>
      <c r="AK94" s="828"/>
      <c r="AL94" s="828"/>
      <c r="AM94" s="828"/>
      <c r="AN94" s="828"/>
      <c r="AO94" s="828"/>
      <c r="AP94" s="828"/>
      <c r="AQ94" s="830">
        <f>SUM(AR94:AU94)</f>
        <v>0</v>
      </c>
      <c r="AR94" s="830"/>
      <c r="AS94" s="830"/>
      <c r="AT94" s="828"/>
      <c r="AU94" s="828"/>
      <c r="AV94" s="828"/>
      <c r="AW94" s="828"/>
      <c r="AX94" s="828"/>
      <c r="AY94" s="828"/>
      <c r="AZ94" s="827">
        <f>SUM(BB94:BD94)</f>
        <v>0</v>
      </c>
      <c r="BA94" s="827"/>
      <c r="BB94" s="828"/>
      <c r="BC94" s="828"/>
      <c r="BD94" s="828"/>
      <c r="BE94" s="828"/>
      <c r="BF94" s="828"/>
      <c r="BG94" s="828"/>
      <c r="BH94" s="830">
        <f t="shared" si="31"/>
        <v>0</v>
      </c>
      <c r="BI94" s="830"/>
      <c r="BJ94" s="830"/>
      <c r="BK94" s="830"/>
      <c r="BL94" s="830"/>
      <c r="BM94" s="828"/>
      <c r="BN94" s="828"/>
      <c r="BO94" s="828"/>
      <c r="BP94" s="828"/>
      <c r="BQ94" s="828"/>
      <c r="BR94" s="829">
        <f>C94+F94+G94+H94+J94+L94+M94+P94+Q94+T94+U94+V94+W94+AA94+AJ94+AK94+AL94+AN94+AO94+AQ94+AX94+AY94+AZ94+BH94+BF94+AP94</f>
        <v>0</v>
      </c>
      <c r="BS94" s="758" t="e">
        <f>#REF!</f>
        <v>#REF!</v>
      </c>
      <c r="BT94" s="759" t="e">
        <f t="shared" si="33"/>
        <v>#REF!</v>
      </c>
      <c r="BU94" s="759" t="b">
        <f>AQ94=дод5.1!D3516</f>
        <v>1</v>
      </c>
      <c r="BV94" s="758" t="e">
        <f>#REF!</f>
        <v>#REF!</v>
      </c>
      <c r="BW94" s="759" t="e">
        <f t="shared" si="34"/>
        <v>#REF!</v>
      </c>
      <c r="BX94" s="760" t="e">
        <f>BH94=дод5.1!#REF!</f>
        <v>#REF!</v>
      </c>
      <c r="CA94" s="760" t="b">
        <f t="shared" si="46"/>
        <v>1</v>
      </c>
      <c r="CC94" s="761">
        <f t="shared" si="36"/>
        <v>0</v>
      </c>
      <c r="CD94" s="501" t="e">
        <f t="shared" si="44"/>
        <v>#REF!</v>
      </c>
    </row>
    <row r="95" spans="1:82" s="463" customFormat="1" ht="20.45" customHeight="1">
      <c r="A95" s="775"/>
      <c r="B95" s="776" t="s">
        <v>401</v>
      </c>
      <c r="C95" s="828">
        <f>SUM(C46:C94)</f>
        <v>160829600</v>
      </c>
      <c r="D95" s="828">
        <f t="shared" ref="D95:BQ95" si="47">SUM(D46:D94)</f>
        <v>126872115</v>
      </c>
      <c r="E95" s="828">
        <f t="shared" si="47"/>
        <v>33957485</v>
      </c>
      <c r="F95" s="828">
        <f t="shared" si="47"/>
        <v>0</v>
      </c>
      <c r="G95" s="828">
        <f t="shared" si="47"/>
        <v>0</v>
      </c>
      <c r="H95" s="828">
        <f t="shared" si="47"/>
        <v>0</v>
      </c>
      <c r="I95" s="828"/>
      <c r="J95" s="828">
        <f t="shared" si="47"/>
        <v>0</v>
      </c>
      <c r="K95" s="828"/>
      <c r="L95" s="828">
        <f t="shared" si="47"/>
        <v>0</v>
      </c>
      <c r="M95" s="828">
        <f t="shared" si="47"/>
        <v>0</v>
      </c>
      <c r="N95" s="828">
        <f t="shared" si="47"/>
        <v>0</v>
      </c>
      <c r="O95" s="828">
        <f t="shared" si="47"/>
        <v>0</v>
      </c>
      <c r="P95" s="828">
        <f t="shared" si="47"/>
        <v>164770</v>
      </c>
      <c r="Q95" s="828">
        <f t="shared" si="47"/>
        <v>15393700</v>
      </c>
      <c r="R95" s="828">
        <f>SUM(R46:R94)</f>
        <v>3726200</v>
      </c>
      <c r="S95" s="828">
        <f>SUM(S46:S94)</f>
        <v>283200</v>
      </c>
      <c r="T95" s="828">
        <f t="shared" si="47"/>
        <v>8606709.379999999</v>
      </c>
      <c r="U95" s="828">
        <f t="shared" si="47"/>
        <v>0</v>
      </c>
      <c r="V95" s="828">
        <f t="shared" si="47"/>
        <v>0</v>
      </c>
      <c r="W95" s="828">
        <f t="shared" si="47"/>
        <v>8876800</v>
      </c>
      <c r="X95" s="828">
        <f t="shared" si="47"/>
        <v>0</v>
      </c>
      <c r="Y95" s="828">
        <f t="shared" si="47"/>
        <v>8876800</v>
      </c>
      <c r="Z95" s="828">
        <f t="shared" si="47"/>
        <v>0</v>
      </c>
      <c r="AA95" s="828">
        <f t="shared" si="47"/>
        <v>4284319</v>
      </c>
      <c r="AB95" s="828">
        <f t="shared" si="47"/>
        <v>2810769</v>
      </c>
      <c r="AC95" s="828">
        <f t="shared" si="47"/>
        <v>1473550</v>
      </c>
      <c r="AD95" s="828">
        <f t="shared" ref="AD95:AI95" si="48">SUM(AD46:AD94)</f>
        <v>15230820</v>
      </c>
      <c r="AE95" s="828">
        <f t="shared" si="48"/>
        <v>723420</v>
      </c>
      <c r="AF95" s="828">
        <f t="shared" si="48"/>
        <v>6046300</v>
      </c>
      <c r="AG95" s="828">
        <f t="shared" si="48"/>
        <v>4975000</v>
      </c>
      <c r="AH95" s="828">
        <f t="shared" si="48"/>
        <v>3486100</v>
      </c>
      <c r="AI95" s="831">
        <f t="shared" si="48"/>
        <v>14507400</v>
      </c>
      <c r="AJ95" s="828">
        <f t="shared" si="47"/>
        <v>0</v>
      </c>
      <c r="AK95" s="828">
        <f t="shared" si="47"/>
        <v>0</v>
      </c>
      <c r="AL95" s="828">
        <f t="shared" si="47"/>
        <v>555000</v>
      </c>
      <c r="AM95" s="828">
        <f t="shared" si="47"/>
        <v>0</v>
      </c>
      <c r="AN95" s="828">
        <f t="shared" si="47"/>
        <v>0</v>
      </c>
      <c r="AO95" s="828">
        <f t="shared" si="47"/>
        <v>0</v>
      </c>
      <c r="AP95" s="828">
        <f t="shared" si="47"/>
        <v>4607579.0299999993</v>
      </c>
      <c r="AQ95" s="828">
        <f t="shared" si="47"/>
        <v>11135100</v>
      </c>
      <c r="AR95" s="828">
        <f t="shared" si="47"/>
        <v>7852895</v>
      </c>
      <c r="AS95" s="828">
        <f t="shared" si="47"/>
        <v>3232205</v>
      </c>
      <c r="AT95" s="828">
        <f t="shared" si="47"/>
        <v>0</v>
      </c>
      <c r="AU95" s="828">
        <f t="shared" si="47"/>
        <v>0</v>
      </c>
      <c r="AV95" s="828">
        <f t="shared" si="47"/>
        <v>0</v>
      </c>
      <c r="AW95" s="828">
        <f t="shared" si="47"/>
        <v>50000</v>
      </c>
      <c r="AX95" s="828">
        <f t="shared" si="47"/>
        <v>0</v>
      </c>
      <c r="AY95" s="828">
        <f t="shared" si="47"/>
        <v>0</v>
      </c>
      <c r="AZ95" s="828">
        <f t="shared" si="47"/>
        <v>243444</v>
      </c>
      <c r="BA95" s="828">
        <f t="shared" si="47"/>
        <v>93444</v>
      </c>
      <c r="BB95" s="828">
        <f t="shared" si="47"/>
        <v>0</v>
      </c>
      <c r="BC95" s="828">
        <f t="shared" si="47"/>
        <v>0</v>
      </c>
      <c r="BD95" s="828">
        <f t="shared" si="47"/>
        <v>150000</v>
      </c>
      <c r="BE95" s="828">
        <f>SUM(BE46:BE94)</f>
        <v>0</v>
      </c>
      <c r="BF95" s="828">
        <f t="shared" si="47"/>
        <v>0</v>
      </c>
      <c r="BG95" s="828">
        <f>SUM(BG46:BG94)</f>
        <v>670300</v>
      </c>
      <c r="BH95" s="828">
        <f t="shared" si="47"/>
        <v>13357234.949999999</v>
      </c>
      <c r="BI95" s="828">
        <f t="shared" si="47"/>
        <v>5450728</v>
      </c>
      <c r="BJ95" s="828">
        <f t="shared" si="47"/>
        <v>4053209</v>
      </c>
      <c r="BK95" s="828">
        <f t="shared" si="47"/>
        <v>1620000</v>
      </c>
      <c r="BL95" s="828">
        <f t="shared" si="47"/>
        <v>0</v>
      </c>
      <c r="BM95" s="828">
        <f t="shared" si="47"/>
        <v>450000</v>
      </c>
      <c r="BN95" s="828">
        <f t="shared" si="47"/>
        <v>1025200.95</v>
      </c>
      <c r="BO95" s="828">
        <f t="shared" si="47"/>
        <v>758097</v>
      </c>
      <c r="BP95" s="828">
        <f t="shared" si="47"/>
        <v>0</v>
      </c>
      <c r="BQ95" s="828">
        <f t="shared" si="47"/>
        <v>758097</v>
      </c>
      <c r="BR95" s="828">
        <f>SUM(BR46:BR94)</f>
        <v>243955376.35999998</v>
      </c>
      <c r="BS95" s="758" t="e">
        <f>SUM(BS46:BS90)</f>
        <v>#REF!</v>
      </c>
      <c r="BT95" s="759" t="e">
        <f t="shared" si="33"/>
        <v>#REF!</v>
      </c>
      <c r="BU95" s="767">
        <f>AQ95</f>
        <v>11135100</v>
      </c>
      <c r="BV95" s="758" t="e">
        <f>#REF!</f>
        <v>#REF!</v>
      </c>
      <c r="BW95" s="759" t="e">
        <f t="shared" si="34"/>
        <v>#REF!</v>
      </c>
      <c r="BX95" s="767">
        <f>BH95</f>
        <v>13357234.949999999</v>
      </c>
      <c r="CA95" s="760" t="b">
        <f t="shared" si="46"/>
        <v>1</v>
      </c>
      <c r="CC95" s="761">
        <f t="shared" si="36"/>
        <v>24492334.949999999</v>
      </c>
      <c r="CD95" s="501" t="e">
        <f t="shared" si="44"/>
        <v>#REF!</v>
      </c>
    </row>
    <row r="96" spans="1:82" s="463" customFormat="1" ht="38.25">
      <c r="A96" s="755" t="s">
        <v>2526</v>
      </c>
      <c r="B96" s="773" t="s">
        <v>2518</v>
      </c>
      <c r="C96" s="828"/>
      <c r="D96" s="828"/>
      <c r="E96" s="828"/>
      <c r="F96" s="828"/>
      <c r="G96" s="828"/>
      <c r="H96" s="828"/>
      <c r="I96" s="828"/>
      <c r="J96" s="828"/>
      <c r="K96" s="828"/>
      <c r="L96" s="828"/>
      <c r="M96" s="827">
        <f t="shared" si="37"/>
        <v>0</v>
      </c>
      <c r="N96" s="828"/>
      <c r="O96" s="828"/>
      <c r="P96" s="828"/>
      <c r="Q96" s="828"/>
      <c r="R96" s="828"/>
      <c r="S96" s="828"/>
      <c r="T96" s="828"/>
      <c r="U96" s="828"/>
      <c r="V96" s="828"/>
      <c r="W96" s="827">
        <f>SUM(X96:Z96)</f>
        <v>0</v>
      </c>
      <c r="X96" s="828"/>
      <c r="Y96" s="828"/>
      <c r="Z96" s="828"/>
      <c r="AA96" s="827">
        <f t="shared" si="39"/>
        <v>0</v>
      </c>
      <c r="AB96" s="828"/>
      <c r="AC96" s="828"/>
      <c r="AD96" s="828"/>
      <c r="AE96" s="828"/>
      <c r="AF96" s="828"/>
      <c r="AG96" s="828"/>
      <c r="AH96" s="828"/>
      <c r="AI96" s="831"/>
      <c r="AJ96" s="828"/>
      <c r="AK96" s="828"/>
      <c r="AL96" s="828"/>
      <c r="AM96" s="828"/>
      <c r="AN96" s="828"/>
      <c r="AO96" s="828"/>
      <c r="AP96" s="828"/>
      <c r="AQ96" s="830">
        <f t="shared" ref="AQ96:AQ113" si="49">SUM(AR96:AW96)</f>
        <v>0</v>
      </c>
      <c r="AR96" s="830"/>
      <c r="AS96" s="830"/>
      <c r="AT96" s="830"/>
      <c r="AU96" s="830"/>
      <c r="AV96" s="830"/>
      <c r="AW96" s="830"/>
      <c r="AX96" s="830"/>
      <c r="AY96" s="830"/>
      <c r="AZ96" s="827">
        <f>SUM(BA96:BD96)</f>
        <v>0</v>
      </c>
      <c r="BA96" s="827"/>
      <c r="BB96" s="830"/>
      <c r="BC96" s="830"/>
      <c r="BD96" s="830"/>
      <c r="BE96" s="830"/>
      <c r="BF96" s="830"/>
      <c r="BG96" s="830"/>
      <c r="BH96" s="830">
        <f t="shared" ref="BH96:BH113" si="50">SUM(BI96:BO96)</f>
        <v>25000</v>
      </c>
      <c r="BI96" s="830"/>
      <c r="BJ96" s="830"/>
      <c r="BK96" s="830"/>
      <c r="BL96" s="830"/>
      <c r="BM96" s="827"/>
      <c r="BN96" s="827">
        <v>25000</v>
      </c>
      <c r="BO96" s="828"/>
      <c r="BP96" s="828"/>
      <c r="BQ96" s="828"/>
      <c r="BR96" s="829">
        <f>C96+F96+G96+H96+J96+L96+M96+P96+Q96+T96+U96+V96+W96+AA96+AJ96+AK96+AL96+AN96+AO96+AQ96+AX96+AY96+AZ96+BH96+BF96+AP96+BE96+AD96+BG96+K96+I96</f>
        <v>25000</v>
      </c>
      <c r="BS96" s="758">
        <f>дод5.1!D4069</f>
        <v>0</v>
      </c>
      <c r="BT96" s="759">
        <f t="shared" si="33"/>
        <v>0</v>
      </c>
      <c r="BU96" s="759">
        <f>AQ96-дод5.1!D4069</f>
        <v>0</v>
      </c>
      <c r="BV96" s="758" t="e">
        <f>#REF!</f>
        <v>#REF!</v>
      </c>
      <c r="BW96" s="759" t="e">
        <f t="shared" si="34"/>
        <v>#REF!</v>
      </c>
      <c r="BX96" s="760">
        <f>BH96-дод5.1!E4069</f>
        <v>0</v>
      </c>
      <c r="CA96" s="760" t="b">
        <f t="shared" si="46"/>
        <v>1</v>
      </c>
      <c r="CC96" s="761">
        <f t="shared" si="36"/>
        <v>25000</v>
      </c>
      <c r="CD96" s="501" t="e">
        <f t="shared" si="44"/>
        <v>#REF!</v>
      </c>
    </row>
    <row r="97" spans="1:82" s="463" customFormat="1" ht="38.25">
      <c r="A97" s="755" t="s">
        <v>2527</v>
      </c>
      <c r="B97" s="773" t="s">
        <v>2519</v>
      </c>
      <c r="C97" s="828"/>
      <c r="D97" s="828"/>
      <c r="E97" s="828"/>
      <c r="F97" s="828"/>
      <c r="G97" s="828"/>
      <c r="H97" s="828"/>
      <c r="I97" s="828"/>
      <c r="J97" s="828"/>
      <c r="K97" s="828"/>
      <c r="L97" s="828"/>
      <c r="M97" s="827">
        <f t="shared" si="37"/>
        <v>0</v>
      </c>
      <c r="N97" s="828"/>
      <c r="O97" s="828"/>
      <c r="P97" s="828"/>
      <c r="Q97" s="828"/>
      <c r="R97" s="828"/>
      <c r="S97" s="828"/>
      <c r="T97" s="828"/>
      <c r="U97" s="828"/>
      <c r="V97" s="828"/>
      <c r="W97" s="827">
        <f>SUM(X97:Z97)</f>
        <v>0</v>
      </c>
      <c r="X97" s="828"/>
      <c r="Y97" s="828"/>
      <c r="Z97" s="828"/>
      <c r="AA97" s="827">
        <f t="shared" si="39"/>
        <v>0</v>
      </c>
      <c r="AB97" s="828"/>
      <c r="AC97" s="828"/>
      <c r="AD97" s="828"/>
      <c r="AE97" s="828"/>
      <c r="AF97" s="828"/>
      <c r="AG97" s="828"/>
      <c r="AH97" s="828"/>
      <c r="AI97" s="831"/>
      <c r="AJ97" s="828"/>
      <c r="AK97" s="828"/>
      <c r="AL97" s="828"/>
      <c r="AM97" s="828"/>
      <c r="AN97" s="828"/>
      <c r="AO97" s="828"/>
      <c r="AP97" s="828"/>
      <c r="AQ97" s="830">
        <f t="shared" si="49"/>
        <v>0</v>
      </c>
      <c r="AR97" s="830"/>
      <c r="AS97" s="830"/>
      <c r="AT97" s="830"/>
      <c r="AU97" s="830"/>
      <c r="AV97" s="830"/>
      <c r="AW97" s="830"/>
      <c r="AX97" s="830"/>
      <c r="AY97" s="830"/>
      <c r="AZ97" s="827">
        <f>SUM(BA97:BD97)</f>
        <v>0</v>
      </c>
      <c r="BA97" s="827"/>
      <c r="BB97" s="830"/>
      <c r="BC97" s="830"/>
      <c r="BD97" s="830"/>
      <c r="BE97" s="830"/>
      <c r="BF97" s="830"/>
      <c r="BG97" s="830"/>
      <c r="BH97" s="830">
        <f t="shared" si="50"/>
        <v>61000</v>
      </c>
      <c r="BI97" s="830"/>
      <c r="BJ97" s="830"/>
      <c r="BK97" s="830"/>
      <c r="BL97" s="830"/>
      <c r="BM97" s="827"/>
      <c r="BN97" s="827">
        <v>61000</v>
      </c>
      <c r="BO97" s="828"/>
      <c r="BP97" s="828"/>
      <c r="BQ97" s="828"/>
      <c r="BR97" s="829">
        <f>C97+F97+G97+H97+J97+L97+M97+P97+Q97+T97+U97+V97+W97+AA97+AJ97+AK97+AL97+AN97+AO97+AQ97+AX97+AY97+AZ97+BH97+BF97+AP97+BE97+AD97+BG97+K97+I97</f>
        <v>61000</v>
      </c>
      <c r="BS97" s="758">
        <f>дод5.1!D4070</f>
        <v>0</v>
      </c>
      <c r="BT97" s="759">
        <f t="shared" si="33"/>
        <v>0</v>
      </c>
      <c r="BU97" s="759">
        <f>BR97-дод5.1!C4070</f>
        <v>0</v>
      </c>
      <c r="BV97" s="758" t="e">
        <f>#REF!</f>
        <v>#REF!</v>
      </c>
      <c r="BW97" s="759" t="e">
        <f t="shared" si="34"/>
        <v>#REF!</v>
      </c>
      <c r="BX97" s="760">
        <f>BH97-дод5.1!E4070</f>
        <v>0</v>
      </c>
      <c r="CA97" s="760" t="b">
        <f t="shared" si="46"/>
        <v>1</v>
      </c>
      <c r="CC97" s="761">
        <f t="shared" si="36"/>
        <v>61000</v>
      </c>
      <c r="CD97" s="501" t="e">
        <f t="shared" si="44"/>
        <v>#REF!</v>
      </c>
    </row>
    <row r="98" spans="1:82" s="463" customFormat="1" ht="38.25">
      <c r="A98" s="755" t="s">
        <v>2528</v>
      </c>
      <c r="B98" s="773" t="s">
        <v>2520</v>
      </c>
      <c r="C98" s="828"/>
      <c r="D98" s="828"/>
      <c r="E98" s="828"/>
      <c r="F98" s="828"/>
      <c r="G98" s="828"/>
      <c r="H98" s="828"/>
      <c r="I98" s="828"/>
      <c r="J98" s="828"/>
      <c r="K98" s="828"/>
      <c r="L98" s="828"/>
      <c r="M98" s="827">
        <f t="shared" si="37"/>
        <v>0</v>
      </c>
      <c r="N98" s="828"/>
      <c r="O98" s="828"/>
      <c r="P98" s="828"/>
      <c r="Q98" s="828"/>
      <c r="R98" s="828"/>
      <c r="S98" s="828"/>
      <c r="T98" s="828"/>
      <c r="U98" s="828"/>
      <c r="V98" s="828"/>
      <c r="W98" s="827">
        <f>SUM(X98:Z98)</f>
        <v>0</v>
      </c>
      <c r="X98" s="828"/>
      <c r="Y98" s="828"/>
      <c r="Z98" s="828"/>
      <c r="AA98" s="827">
        <f t="shared" si="39"/>
        <v>0</v>
      </c>
      <c r="AB98" s="828"/>
      <c r="AC98" s="828"/>
      <c r="AD98" s="828"/>
      <c r="AE98" s="828"/>
      <c r="AF98" s="828"/>
      <c r="AG98" s="828"/>
      <c r="AH98" s="828"/>
      <c r="AI98" s="831"/>
      <c r="AJ98" s="828"/>
      <c r="AK98" s="828"/>
      <c r="AL98" s="828"/>
      <c r="AM98" s="828"/>
      <c r="AN98" s="828"/>
      <c r="AO98" s="828"/>
      <c r="AP98" s="828"/>
      <c r="AQ98" s="830">
        <f t="shared" si="49"/>
        <v>0</v>
      </c>
      <c r="AR98" s="830"/>
      <c r="AS98" s="830"/>
      <c r="AT98" s="830"/>
      <c r="AU98" s="830"/>
      <c r="AV98" s="830"/>
      <c r="AW98" s="830"/>
      <c r="AX98" s="830"/>
      <c r="AY98" s="830"/>
      <c r="AZ98" s="827">
        <f>SUM(BA98:BD98)</f>
        <v>0</v>
      </c>
      <c r="BA98" s="827"/>
      <c r="BB98" s="830"/>
      <c r="BC98" s="830"/>
      <c r="BD98" s="830"/>
      <c r="BE98" s="830"/>
      <c r="BF98" s="830"/>
      <c r="BG98" s="830"/>
      <c r="BH98" s="830">
        <f t="shared" si="50"/>
        <v>35000</v>
      </c>
      <c r="BI98" s="830"/>
      <c r="BJ98" s="830"/>
      <c r="BK98" s="830"/>
      <c r="BL98" s="830"/>
      <c r="BM98" s="827"/>
      <c r="BN98" s="827">
        <v>35000</v>
      </c>
      <c r="BO98" s="828"/>
      <c r="BP98" s="828"/>
      <c r="BQ98" s="828"/>
      <c r="BR98" s="829">
        <f>C98+F98+G98+H98+J98+L98+M98+P98+Q98+T98+U98+V98+W98+AA98+AJ98+AK98+AL98+AN98+AO98+AQ98+AX98+AY98+AZ98+BH98+BF98+AP98+BE98+AD98+BG98+K98+I98</f>
        <v>35000</v>
      </c>
      <c r="BS98" s="758">
        <f>дод5.1!D4071</f>
        <v>0</v>
      </c>
      <c r="BT98" s="759">
        <f t="shared" si="33"/>
        <v>0</v>
      </c>
      <c r="BU98" s="759">
        <f>BR98-дод5.1!C4071</f>
        <v>0</v>
      </c>
      <c r="BV98" s="758" t="e">
        <f>#REF!</f>
        <v>#REF!</v>
      </c>
      <c r="BW98" s="759" t="e">
        <f t="shared" si="34"/>
        <v>#REF!</v>
      </c>
      <c r="BX98" s="760">
        <f>BH98-дод5.1!E4071</f>
        <v>0</v>
      </c>
      <c r="CA98" s="760" t="b">
        <f t="shared" si="46"/>
        <v>1</v>
      </c>
      <c r="CC98" s="761">
        <f t="shared" si="36"/>
        <v>35000</v>
      </c>
      <c r="CD98" s="501" t="e">
        <f t="shared" si="44"/>
        <v>#REF!</v>
      </c>
    </row>
    <row r="99" spans="1:82" s="463" customFormat="1" hidden="1">
      <c r="A99" s="775"/>
      <c r="B99" s="777"/>
      <c r="C99" s="828"/>
      <c r="D99" s="828"/>
      <c r="E99" s="828"/>
      <c r="F99" s="828"/>
      <c r="G99" s="828"/>
      <c r="H99" s="828"/>
      <c r="I99" s="828"/>
      <c r="J99" s="828"/>
      <c r="K99" s="828"/>
      <c r="L99" s="828"/>
      <c r="M99" s="827">
        <f t="shared" si="37"/>
        <v>0</v>
      </c>
      <c r="N99" s="828"/>
      <c r="O99" s="828"/>
      <c r="P99" s="828"/>
      <c r="Q99" s="828"/>
      <c r="R99" s="828"/>
      <c r="S99" s="828"/>
      <c r="T99" s="828"/>
      <c r="U99" s="828"/>
      <c r="V99" s="828"/>
      <c r="W99" s="828"/>
      <c r="X99" s="828"/>
      <c r="Y99" s="828"/>
      <c r="Z99" s="828"/>
      <c r="AA99" s="827">
        <f t="shared" si="39"/>
        <v>0</v>
      </c>
      <c r="AB99" s="828"/>
      <c r="AC99" s="828"/>
      <c r="AD99" s="828"/>
      <c r="AE99" s="828"/>
      <c r="AF99" s="828"/>
      <c r="AG99" s="828"/>
      <c r="AH99" s="828"/>
      <c r="AI99" s="831"/>
      <c r="AJ99" s="828"/>
      <c r="AK99" s="828"/>
      <c r="AL99" s="828"/>
      <c r="AM99" s="828"/>
      <c r="AN99" s="828"/>
      <c r="AO99" s="828"/>
      <c r="AP99" s="828"/>
      <c r="AQ99" s="830">
        <f t="shared" si="49"/>
        <v>0</v>
      </c>
      <c r="AR99" s="830"/>
      <c r="AS99" s="830"/>
      <c r="AT99" s="830"/>
      <c r="AU99" s="830"/>
      <c r="AV99" s="830"/>
      <c r="AW99" s="830"/>
      <c r="AX99" s="830"/>
      <c r="AY99" s="830"/>
      <c r="AZ99" s="830"/>
      <c r="BA99" s="830"/>
      <c r="BB99" s="830"/>
      <c r="BC99" s="830"/>
      <c r="BD99" s="830"/>
      <c r="BE99" s="830"/>
      <c r="BF99" s="830"/>
      <c r="BG99" s="830"/>
      <c r="BH99" s="830">
        <f t="shared" si="50"/>
        <v>0</v>
      </c>
      <c r="BI99" s="830"/>
      <c r="BJ99" s="830"/>
      <c r="BK99" s="830"/>
      <c r="BL99" s="830"/>
      <c r="BM99" s="827"/>
      <c r="BN99" s="827"/>
      <c r="BO99" s="828"/>
      <c r="BP99" s="828"/>
      <c r="BQ99" s="828"/>
      <c r="BR99" s="829">
        <f t="shared" ref="BR99:BR113" si="51">C99+F99+G99+H99+J99+L99+M99+P99+Q99+T99+U99+V99+W99+AA99+AJ99+AK99+AL99+AN99+AO99+AQ99+AX99+AY99+AZ99+BH99+BF99+AP99</f>
        <v>0</v>
      </c>
      <c r="BS99" s="758" t="e">
        <f>#REF!</f>
        <v>#REF!</v>
      </c>
      <c r="BT99" s="759" t="e">
        <f t="shared" si="33"/>
        <v>#REF!</v>
      </c>
      <c r="BU99" s="759">
        <f>BR99-дод5.1!C4072</f>
        <v>0</v>
      </c>
      <c r="BV99" s="758" t="e">
        <f>#REF!</f>
        <v>#REF!</v>
      </c>
      <c r="BW99" s="759" t="e">
        <f t="shared" si="34"/>
        <v>#REF!</v>
      </c>
      <c r="BX99" s="760">
        <f>BH99-дод5.1!E4072</f>
        <v>0</v>
      </c>
      <c r="CA99" s="760" t="b">
        <f t="shared" si="46"/>
        <v>1</v>
      </c>
      <c r="CC99" s="761">
        <f t="shared" si="36"/>
        <v>0</v>
      </c>
      <c r="CD99" s="501" t="e">
        <f t="shared" si="44"/>
        <v>#REF!</v>
      </c>
    </row>
    <row r="100" spans="1:82" s="463" customFormat="1" ht="39" hidden="1" customHeight="1">
      <c r="A100" s="775"/>
      <c r="B100" s="777"/>
      <c r="C100" s="828"/>
      <c r="D100" s="828"/>
      <c r="E100" s="828"/>
      <c r="F100" s="828"/>
      <c r="G100" s="828"/>
      <c r="H100" s="828"/>
      <c r="I100" s="828"/>
      <c r="J100" s="828"/>
      <c r="K100" s="828"/>
      <c r="L100" s="828"/>
      <c r="M100" s="827">
        <f t="shared" si="37"/>
        <v>0</v>
      </c>
      <c r="N100" s="828"/>
      <c r="O100" s="828"/>
      <c r="P100" s="828"/>
      <c r="Q100" s="828"/>
      <c r="R100" s="828"/>
      <c r="S100" s="828"/>
      <c r="T100" s="828"/>
      <c r="U100" s="828"/>
      <c r="V100" s="828"/>
      <c r="W100" s="828"/>
      <c r="X100" s="828"/>
      <c r="Y100" s="828"/>
      <c r="Z100" s="828"/>
      <c r="AA100" s="827">
        <f t="shared" si="39"/>
        <v>0</v>
      </c>
      <c r="AB100" s="828"/>
      <c r="AC100" s="828"/>
      <c r="AD100" s="828"/>
      <c r="AE100" s="828"/>
      <c r="AF100" s="828"/>
      <c r="AG100" s="828"/>
      <c r="AH100" s="828"/>
      <c r="AI100" s="831"/>
      <c r="AJ100" s="828"/>
      <c r="AK100" s="828"/>
      <c r="AL100" s="828"/>
      <c r="AM100" s="828"/>
      <c r="AN100" s="828"/>
      <c r="AO100" s="828"/>
      <c r="AP100" s="828"/>
      <c r="AQ100" s="830">
        <f t="shared" si="49"/>
        <v>0</v>
      </c>
      <c r="AR100" s="830"/>
      <c r="AS100" s="830"/>
      <c r="AT100" s="830"/>
      <c r="AU100" s="830"/>
      <c r="AV100" s="830"/>
      <c r="AW100" s="830"/>
      <c r="AX100" s="830"/>
      <c r="AY100" s="830"/>
      <c r="AZ100" s="830"/>
      <c r="BA100" s="830"/>
      <c r="BB100" s="830"/>
      <c r="BC100" s="830"/>
      <c r="BD100" s="830"/>
      <c r="BE100" s="830"/>
      <c r="BF100" s="830"/>
      <c r="BG100" s="830"/>
      <c r="BH100" s="830">
        <f t="shared" si="50"/>
        <v>0</v>
      </c>
      <c r="BI100" s="830"/>
      <c r="BJ100" s="830"/>
      <c r="BK100" s="830"/>
      <c r="BL100" s="830"/>
      <c r="BM100" s="827"/>
      <c r="BN100" s="827"/>
      <c r="BO100" s="828"/>
      <c r="BP100" s="828"/>
      <c r="BQ100" s="828"/>
      <c r="BR100" s="829">
        <f t="shared" si="51"/>
        <v>0</v>
      </c>
      <c r="BS100" s="758" t="e">
        <f>#REF!</f>
        <v>#REF!</v>
      </c>
      <c r="BT100" s="759" t="e">
        <f t="shared" si="33"/>
        <v>#REF!</v>
      </c>
      <c r="BU100" s="759">
        <f>BR100-дод5.1!C4073</f>
        <v>0</v>
      </c>
      <c r="BV100" s="758" t="e">
        <f>#REF!</f>
        <v>#REF!</v>
      </c>
      <c r="BW100" s="759" t="e">
        <f t="shared" si="34"/>
        <v>#REF!</v>
      </c>
      <c r="BX100" s="760">
        <f>BH100-дод5.1!E4073</f>
        <v>0</v>
      </c>
      <c r="CA100" s="760" t="b">
        <f t="shared" si="46"/>
        <v>1</v>
      </c>
      <c r="CC100" s="761">
        <f t="shared" si="36"/>
        <v>0</v>
      </c>
      <c r="CD100" s="501" t="e">
        <f t="shared" si="44"/>
        <v>#REF!</v>
      </c>
    </row>
    <row r="101" spans="1:82" s="463" customFormat="1" ht="42.6" hidden="1" customHeight="1">
      <c r="A101" s="775"/>
      <c r="B101" s="777"/>
      <c r="C101" s="828"/>
      <c r="D101" s="828"/>
      <c r="E101" s="828"/>
      <c r="F101" s="828"/>
      <c r="G101" s="828"/>
      <c r="H101" s="828"/>
      <c r="I101" s="828"/>
      <c r="J101" s="828"/>
      <c r="K101" s="828"/>
      <c r="L101" s="828"/>
      <c r="M101" s="827">
        <f t="shared" si="37"/>
        <v>0</v>
      </c>
      <c r="N101" s="828"/>
      <c r="O101" s="828"/>
      <c r="P101" s="828"/>
      <c r="Q101" s="828"/>
      <c r="R101" s="828"/>
      <c r="S101" s="828"/>
      <c r="T101" s="828"/>
      <c r="U101" s="828"/>
      <c r="V101" s="828"/>
      <c r="W101" s="828"/>
      <c r="X101" s="828"/>
      <c r="Y101" s="828"/>
      <c r="Z101" s="828"/>
      <c r="AA101" s="827">
        <f t="shared" si="39"/>
        <v>0</v>
      </c>
      <c r="AB101" s="828"/>
      <c r="AC101" s="828"/>
      <c r="AD101" s="828"/>
      <c r="AE101" s="828"/>
      <c r="AF101" s="828"/>
      <c r="AG101" s="828"/>
      <c r="AH101" s="828"/>
      <c r="AI101" s="831"/>
      <c r="AJ101" s="828"/>
      <c r="AK101" s="828"/>
      <c r="AL101" s="828"/>
      <c r="AM101" s="828"/>
      <c r="AN101" s="828"/>
      <c r="AO101" s="828"/>
      <c r="AP101" s="828"/>
      <c r="AQ101" s="830">
        <f t="shared" si="49"/>
        <v>0</v>
      </c>
      <c r="AR101" s="830"/>
      <c r="AS101" s="830"/>
      <c r="AT101" s="830"/>
      <c r="AU101" s="830"/>
      <c r="AV101" s="830"/>
      <c r="AW101" s="830"/>
      <c r="AX101" s="830"/>
      <c r="AY101" s="830"/>
      <c r="AZ101" s="830"/>
      <c r="BA101" s="830"/>
      <c r="BB101" s="830"/>
      <c r="BC101" s="830"/>
      <c r="BD101" s="830"/>
      <c r="BE101" s="830"/>
      <c r="BF101" s="830"/>
      <c r="BG101" s="830"/>
      <c r="BH101" s="830">
        <f t="shared" si="50"/>
        <v>0</v>
      </c>
      <c r="BI101" s="830"/>
      <c r="BJ101" s="830"/>
      <c r="BK101" s="830"/>
      <c r="BL101" s="830"/>
      <c r="BM101" s="827"/>
      <c r="BN101" s="827"/>
      <c r="BO101" s="828"/>
      <c r="BP101" s="828"/>
      <c r="BQ101" s="828"/>
      <c r="BR101" s="829">
        <f t="shared" si="51"/>
        <v>0</v>
      </c>
      <c r="BS101" s="758" t="e">
        <f>#REF!</f>
        <v>#REF!</v>
      </c>
      <c r="BT101" s="759" t="e">
        <f t="shared" si="33"/>
        <v>#REF!</v>
      </c>
      <c r="BU101" s="759">
        <f>BR101-дод5.1!C4074</f>
        <v>0</v>
      </c>
      <c r="BV101" s="758" t="e">
        <f>#REF!</f>
        <v>#REF!</v>
      </c>
      <c r="BW101" s="759" t="e">
        <f t="shared" si="34"/>
        <v>#REF!</v>
      </c>
      <c r="BX101" s="760">
        <f>BH101-дод5.1!E4074</f>
        <v>0</v>
      </c>
      <c r="CA101" s="760" t="b">
        <f t="shared" si="46"/>
        <v>1</v>
      </c>
      <c r="CC101" s="761">
        <f t="shared" si="36"/>
        <v>0</v>
      </c>
      <c r="CD101" s="501" t="e">
        <f t="shared" si="44"/>
        <v>#REF!</v>
      </c>
    </row>
    <row r="102" spans="1:82" s="463" customFormat="1" hidden="1">
      <c r="A102" s="775"/>
      <c r="B102" s="777"/>
      <c r="C102" s="828"/>
      <c r="D102" s="828"/>
      <c r="E102" s="828"/>
      <c r="F102" s="828"/>
      <c r="G102" s="828"/>
      <c r="H102" s="828"/>
      <c r="I102" s="828"/>
      <c r="J102" s="828"/>
      <c r="K102" s="828"/>
      <c r="L102" s="828"/>
      <c r="M102" s="827">
        <f t="shared" si="37"/>
        <v>0</v>
      </c>
      <c r="N102" s="828"/>
      <c r="O102" s="828"/>
      <c r="P102" s="828"/>
      <c r="Q102" s="828"/>
      <c r="R102" s="828"/>
      <c r="S102" s="828"/>
      <c r="T102" s="828"/>
      <c r="U102" s="828"/>
      <c r="V102" s="828"/>
      <c r="W102" s="828"/>
      <c r="X102" s="828"/>
      <c r="Y102" s="828"/>
      <c r="Z102" s="828"/>
      <c r="AA102" s="827">
        <f t="shared" si="39"/>
        <v>0</v>
      </c>
      <c r="AB102" s="828"/>
      <c r="AC102" s="828"/>
      <c r="AD102" s="828"/>
      <c r="AE102" s="828"/>
      <c r="AF102" s="828"/>
      <c r="AG102" s="828"/>
      <c r="AH102" s="828"/>
      <c r="AI102" s="831"/>
      <c r="AJ102" s="828"/>
      <c r="AK102" s="828"/>
      <c r="AL102" s="828"/>
      <c r="AM102" s="828"/>
      <c r="AN102" s="828"/>
      <c r="AO102" s="828"/>
      <c r="AP102" s="828"/>
      <c r="AQ102" s="830">
        <f t="shared" si="49"/>
        <v>0</v>
      </c>
      <c r="AR102" s="830"/>
      <c r="AS102" s="830"/>
      <c r="AT102" s="830"/>
      <c r="AU102" s="830"/>
      <c r="AV102" s="830"/>
      <c r="AW102" s="830"/>
      <c r="AX102" s="830"/>
      <c r="AY102" s="830"/>
      <c r="AZ102" s="830"/>
      <c r="BA102" s="830"/>
      <c r="BB102" s="830"/>
      <c r="BC102" s="830"/>
      <c r="BD102" s="830"/>
      <c r="BE102" s="830"/>
      <c r="BF102" s="830"/>
      <c r="BG102" s="830"/>
      <c r="BH102" s="830"/>
      <c r="BI102" s="830"/>
      <c r="BJ102" s="830"/>
      <c r="BK102" s="830"/>
      <c r="BL102" s="830"/>
      <c r="BM102" s="827"/>
      <c r="BN102" s="827"/>
      <c r="BO102" s="828"/>
      <c r="BP102" s="828"/>
      <c r="BQ102" s="828"/>
      <c r="BR102" s="829">
        <f t="shared" si="51"/>
        <v>0</v>
      </c>
      <c r="BS102" s="758" t="e">
        <f>#REF!</f>
        <v>#REF!</v>
      </c>
      <c r="BT102" s="759" t="e">
        <f t="shared" si="33"/>
        <v>#REF!</v>
      </c>
      <c r="BU102" s="759">
        <f>BR102-дод5.1!C4075</f>
        <v>0</v>
      </c>
      <c r="BV102" s="758" t="e">
        <f>#REF!</f>
        <v>#REF!</v>
      </c>
      <c r="BW102" s="759" t="e">
        <f t="shared" si="34"/>
        <v>#REF!</v>
      </c>
      <c r="BX102" s="760">
        <f>BH102-дод5.1!E4075</f>
        <v>0</v>
      </c>
      <c r="CA102" s="760" t="b">
        <f t="shared" si="46"/>
        <v>1</v>
      </c>
      <c r="CC102" s="761">
        <f t="shared" si="36"/>
        <v>0</v>
      </c>
      <c r="CD102" s="501" t="e">
        <f t="shared" si="44"/>
        <v>#REF!</v>
      </c>
    </row>
    <row r="103" spans="1:82" s="463" customFormat="1" hidden="1">
      <c r="A103" s="775"/>
      <c r="B103" s="777"/>
      <c r="C103" s="828"/>
      <c r="D103" s="828"/>
      <c r="E103" s="828"/>
      <c r="F103" s="828"/>
      <c r="G103" s="828"/>
      <c r="H103" s="828"/>
      <c r="I103" s="828"/>
      <c r="J103" s="828"/>
      <c r="K103" s="828"/>
      <c r="L103" s="828"/>
      <c r="M103" s="827">
        <f t="shared" si="37"/>
        <v>0</v>
      </c>
      <c r="N103" s="828"/>
      <c r="O103" s="828"/>
      <c r="P103" s="828"/>
      <c r="Q103" s="828"/>
      <c r="R103" s="828"/>
      <c r="S103" s="828"/>
      <c r="T103" s="828"/>
      <c r="U103" s="828"/>
      <c r="V103" s="828"/>
      <c r="W103" s="828"/>
      <c r="X103" s="828"/>
      <c r="Y103" s="828"/>
      <c r="Z103" s="828"/>
      <c r="AA103" s="827">
        <f t="shared" si="39"/>
        <v>0</v>
      </c>
      <c r="AB103" s="828"/>
      <c r="AC103" s="828"/>
      <c r="AD103" s="828"/>
      <c r="AE103" s="828"/>
      <c r="AF103" s="828"/>
      <c r="AG103" s="828"/>
      <c r="AH103" s="828"/>
      <c r="AI103" s="831"/>
      <c r="AJ103" s="828"/>
      <c r="AK103" s="828"/>
      <c r="AL103" s="828"/>
      <c r="AM103" s="828"/>
      <c r="AN103" s="828"/>
      <c r="AO103" s="828"/>
      <c r="AP103" s="828"/>
      <c r="AQ103" s="830">
        <f t="shared" si="49"/>
        <v>0</v>
      </c>
      <c r="AR103" s="830"/>
      <c r="AS103" s="830"/>
      <c r="AT103" s="830"/>
      <c r="AU103" s="830"/>
      <c r="AV103" s="830"/>
      <c r="AW103" s="830"/>
      <c r="AX103" s="830"/>
      <c r="AY103" s="830"/>
      <c r="AZ103" s="830"/>
      <c r="BA103" s="830"/>
      <c r="BB103" s="830"/>
      <c r="BC103" s="830"/>
      <c r="BD103" s="830"/>
      <c r="BE103" s="830"/>
      <c r="BF103" s="830"/>
      <c r="BG103" s="830"/>
      <c r="BH103" s="830">
        <f t="shared" si="50"/>
        <v>0</v>
      </c>
      <c r="BI103" s="830"/>
      <c r="BJ103" s="830"/>
      <c r="BK103" s="830"/>
      <c r="BL103" s="830"/>
      <c r="BM103" s="827"/>
      <c r="BN103" s="827"/>
      <c r="BO103" s="828"/>
      <c r="BP103" s="828"/>
      <c r="BQ103" s="828"/>
      <c r="BR103" s="829">
        <f t="shared" si="51"/>
        <v>0</v>
      </c>
      <c r="BS103" s="758" t="e">
        <f>#REF!</f>
        <v>#REF!</v>
      </c>
      <c r="BT103" s="759" t="e">
        <f t="shared" si="33"/>
        <v>#REF!</v>
      </c>
      <c r="BU103" s="759">
        <f>BR103-дод5.1!C4076</f>
        <v>0</v>
      </c>
      <c r="BV103" s="758" t="e">
        <f>#REF!</f>
        <v>#REF!</v>
      </c>
      <c r="BW103" s="759" t="e">
        <f t="shared" si="34"/>
        <v>#REF!</v>
      </c>
      <c r="BX103" s="760">
        <f>BH103-дод5.1!E4076</f>
        <v>0</v>
      </c>
      <c r="CA103" s="760" t="b">
        <f t="shared" si="46"/>
        <v>1</v>
      </c>
      <c r="CC103" s="761">
        <f t="shared" si="36"/>
        <v>0</v>
      </c>
      <c r="CD103" s="501" t="e">
        <f t="shared" si="44"/>
        <v>#REF!</v>
      </c>
    </row>
    <row r="104" spans="1:82" s="463" customFormat="1" ht="39.950000000000003" hidden="1" customHeight="1">
      <c r="A104" s="775"/>
      <c r="B104" s="777"/>
      <c r="C104" s="828"/>
      <c r="D104" s="828"/>
      <c r="E104" s="828"/>
      <c r="F104" s="828"/>
      <c r="G104" s="828"/>
      <c r="H104" s="828"/>
      <c r="I104" s="828"/>
      <c r="J104" s="828"/>
      <c r="K104" s="828"/>
      <c r="L104" s="828"/>
      <c r="M104" s="827">
        <f t="shared" si="37"/>
        <v>0</v>
      </c>
      <c r="N104" s="828"/>
      <c r="O104" s="828"/>
      <c r="P104" s="828"/>
      <c r="Q104" s="828"/>
      <c r="R104" s="828"/>
      <c r="S104" s="828"/>
      <c r="T104" s="828"/>
      <c r="U104" s="828"/>
      <c r="V104" s="828"/>
      <c r="W104" s="828"/>
      <c r="X104" s="828"/>
      <c r="Y104" s="828"/>
      <c r="Z104" s="828"/>
      <c r="AA104" s="827">
        <f t="shared" si="39"/>
        <v>0</v>
      </c>
      <c r="AB104" s="828"/>
      <c r="AC104" s="828"/>
      <c r="AD104" s="828"/>
      <c r="AE104" s="828"/>
      <c r="AF104" s="828"/>
      <c r="AG104" s="828"/>
      <c r="AH104" s="828"/>
      <c r="AI104" s="831"/>
      <c r="AJ104" s="828"/>
      <c r="AK104" s="828"/>
      <c r="AL104" s="828"/>
      <c r="AM104" s="828"/>
      <c r="AN104" s="828"/>
      <c r="AO104" s="828"/>
      <c r="AP104" s="828"/>
      <c r="AQ104" s="830">
        <f t="shared" si="49"/>
        <v>0</v>
      </c>
      <c r="AR104" s="830"/>
      <c r="AS104" s="830"/>
      <c r="AT104" s="830"/>
      <c r="AU104" s="830"/>
      <c r="AV104" s="830"/>
      <c r="AW104" s="830"/>
      <c r="AX104" s="830"/>
      <c r="AY104" s="830"/>
      <c r="AZ104" s="830"/>
      <c r="BA104" s="830"/>
      <c r="BB104" s="830"/>
      <c r="BC104" s="830"/>
      <c r="BD104" s="830"/>
      <c r="BE104" s="830"/>
      <c r="BF104" s="830"/>
      <c r="BG104" s="830"/>
      <c r="BH104" s="830">
        <f t="shared" si="50"/>
        <v>0</v>
      </c>
      <c r="BI104" s="979"/>
      <c r="BJ104" s="979"/>
      <c r="BK104" s="979"/>
      <c r="BL104" s="979"/>
      <c r="BM104" s="827"/>
      <c r="BN104" s="827"/>
      <c r="BO104" s="828"/>
      <c r="BP104" s="828"/>
      <c r="BQ104" s="828"/>
      <c r="BR104" s="829">
        <f t="shared" si="51"/>
        <v>0</v>
      </c>
      <c r="BS104" s="758" t="e">
        <f>#REF!</f>
        <v>#REF!</v>
      </c>
      <c r="BT104" s="759" t="e">
        <f t="shared" si="33"/>
        <v>#REF!</v>
      </c>
      <c r="BU104" s="759">
        <f>BR104-дод5.1!C4077</f>
        <v>0</v>
      </c>
      <c r="BV104" s="758" t="e">
        <f>#REF!</f>
        <v>#REF!</v>
      </c>
      <c r="BW104" s="759" t="e">
        <f t="shared" si="34"/>
        <v>#REF!</v>
      </c>
      <c r="BX104" s="760">
        <f>BH104-дод5.1!E4077</f>
        <v>0</v>
      </c>
      <c r="CA104" s="760" t="b">
        <f t="shared" si="46"/>
        <v>1</v>
      </c>
      <c r="CC104" s="761">
        <f t="shared" si="36"/>
        <v>0</v>
      </c>
      <c r="CD104" s="501" t="e">
        <f t="shared" si="44"/>
        <v>#REF!</v>
      </c>
    </row>
    <row r="105" spans="1:82" s="463" customFormat="1" hidden="1">
      <c r="A105" s="775"/>
      <c r="B105" s="777"/>
      <c r="C105" s="828"/>
      <c r="D105" s="828"/>
      <c r="E105" s="828"/>
      <c r="F105" s="828"/>
      <c r="G105" s="828"/>
      <c r="H105" s="828"/>
      <c r="I105" s="828"/>
      <c r="J105" s="828"/>
      <c r="K105" s="828"/>
      <c r="L105" s="828"/>
      <c r="M105" s="827">
        <f t="shared" si="37"/>
        <v>0</v>
      </c>
      <c r="N105" s="828"/>
      <c r="O105" s="828"/>
      <c r="P105" s="828"/>
      <c r="Q105" s="828"/>
      <c r="R105" s="828"/>
      <c r="S105" s="828"/>
      <c r="T105" s="828"/>
      <c r="U105" s="828"/>
      <c r="V105" s="828"/>
      <c r="W105" s="828"/>
      <c r="X105" s="828"/>
      <c r="Y105" s="828"/>
      <c r="Z105" s="828"/>
      <c r="AA105" s="827">
        <f t="shared" si="39"/>
        <v>0</v>
      </c>
      <c r="AB105" s="828"/>
      <c r="AC105" s="828"/>
      <c r="AD105" s="828"/>
      <c r="AE105" s="828"/>
      <c r="AF105" s="828"/>
      <c r="AG105" s="828"/>
      <c r="AH105" s="828"/>
      <c r="AI105" s="831"/>
      <c r="AJ105" s="828"/>
      <c r="AK105" s="828"/>
      <c r="AL105" s="828"/>
      <c r="AM105" s="828"/>
      <c r="AN105" s="828"/>
      <c r="AO105" s="828"/>
      <c r="AP105" s="828"/>
      <c r="AQ105" s="830">
        <f t="shared" si="49"/>
        <v>0</v>
      </c>
      <c r="AR105" s="830"/>
      <c r="AS105" s="830"/>
      <c r="AT105" s="830"/>
      <c r="AU105" s="830"/>
      <c r="AV105" s="830"/>
      <c r="AW105" s="830"/>
      <c r="AX105" s="830"/>
      <c r="AY105" s="830"/>
      <c r="AZ105" s="830"/>
      <c r="BA105" s="830"/>
      <c r="BB105" s="830"/>
      <c r="BC105" s="830"/>
      <c r="BD105" s="830"/>
      <c r="BE105" s="830"/>
      <c r="BF105" s="830"/>
      <c r="BG105" s="830"/>
      <c r="BH105" s="830">
        <f t="shared" si="50"/>
        <v>0</v>
      </c>
      <c r="BI105" s="979"/>
      <c r="BJ105" s="979"/>
      <c r="BK105" s="979"/>
      <c r="BL105" s="979"/>
      <c r="BM105" s="827"/>
      <c r="BN105" s="827"/>
      <c r="BO105" s="828"/>
      <c r="BP105" s="828"/>
      <c r="BQ105" s="828"/>
      <c r="BR105" s="829">
        <f t="shared" si="51"/>
        <v>0</v>
      </c>
      <c r="BS105" s="758" t="e">
        <f>#REF!</f>
        <v>#REF!</v>
      </c>
      <c r="BT105" s="759" t="e">
        <f t="shared" si="33"/>
        <v>#REF!</v>
      </c>
      <c r="BU105" s="759">
        <f>BR105-дод5.1!C4078</f>
        <v>0</v>
      </c>
      <c r="BV105" s="758" t="e">
        <f>#REF!</f>
        <v>#REF!</v>
      </c>
      <c r="BW105" s="759" t="e">
        <f t="shared" si="34"/>
        <v>#REF!</v>
      </c>
      <c r="BX105" s="760">
        <f>BH105-дод5.1!E4078</f>
        <v>0</v>
      </c>
      <c r="CA105" s="760" t="b">
        <f t="shared" si="46"/>
        <v>1</v>
      </c>
      <c r="CC105" s="761">
        <f t="shared" si="36"/>
        <v>0</v>
      </c>
      <c r="CD105" s="501" t="e">
        <f t="shared" si="44"/>
        <v>#REF!</v>
      </c>
    </row>
    <row r="106" spans="1:82" s="463" customFormat="1" ht="41.45" hidden="1" customHeight="1">
      <c r="A106" s="775"/>
      <c r="B106" s="777"/>
      <c r="C106" s="828"/>
      <c r="D106" s="828"/>
      <c r="E106" s="828"/>
      <c r="F106" s="828"/>
      <c r="G106" s="828"/>
      <c r="H106" s="828"/>
      <c r="I106" s="828"/>
      <c r="J106" s="828"/>
      <c r="K106" s="828"/>
      <c r="L106" s="828"/>
      <c r="M106" s="827">
        <f t="shared" si="37"/>
        <v>0</v>
      </c>
      <c r="N106" s="828"/>
      <c r="O106" s="828"/>
      <c r="P106" s="828"/>
      <c r="Q106" s="828"/>
      <c r="R106" s="828"/>
      <c r="S106" s="828"/>
      <c r="T106" s="828"/>
      <c r="U106" s="828"/>
      <c r="V106" s="828"/>
      <c r="W106" s="828"/>
      <c r="X106" s="828"/>
      <c r="Y106" s="828"/>
      <c r="Z106" s="828"/>
      <c r="AA106" s="827">
        <f t="shared" si="39"/>
        <v>0</v>
      </c>
      <c r="AB106" s="828"/>
      <c r="AC106" s="828"/>
      <c r="AD106" s="828"/>
      <c r="AE106" s="828"/>
      <c r="AF106" s="828"/>
      <c r="AG106" s="828"/>
      <c r="AH106" s="828"/>
      <c r="AI106" s="831"/>
      <c r="AJ106" s="828"/>
      <c r="AK106" s="828"/>
      <c r="AL106" s="828"/>
      <c r="AM106" s="828"/>
      <c r="AN106" s="828"/>
      <c r="AO106" s="828"/>
      <c r="AP106" s="828"/>
      <c r="AQ106" s="830">
        <f t="shared" si="49"/>
        <v>0</v>
      </c>
      <c r="AR106" s="830"/>
      <c r="AS106" s="830"/>
      <c r="AT106" s="830"/>
      <c r="AU106" s="830"/>
      <c r="AV106" s="830"/>
      <c r="AW106" s="830"/>
      <c r="AX106" s="830"/>
      <c r="AY106" s="830"/>
      <c r="AZ106" s="830"/>
      <c r="BA106" s="830"/>
      <c r="BB106" s="830"/>
      <c r="BC106" s="830"/>
      <c r="BD106" s="830"/>
      <c r="BE106" s="830"/>
      <c r="BF106" s="830"/>
      <c r="BG106" s="830"/>
      <c r="BH106" s="830">
        <f t="shared" si="50"/>
        <v>0</v>
      </c>
      <c r="BI106" s="979"/>
      <c r="BJ106" s="979"/>
      <c r="BK106" s="979"/>
      <c r="BL106" s="979"/>
      <c r="BM106" s="827"/>
      <c r="BN106" s="827"/>
      <c r="BO106" s="828"/>
      <c r="BP106" s="828"/>
      <c r="BQ106" s="828"/>
      <c r="BR106" s="829">
        <f t="shared" si="51"/>
        <v>0</v>
      </c>
      <c r="BS106" s="758" t="e">
        <f>#REF!</f>
        <v>#REF!</v>
      </c>
      <c r="BT106" s="759" t="e">
        <f t="shared" si="33"/>
        <v>#REF!</v>
      </c>
      <c r="BU106" s="759">
        <f>BR106-дод5.1!C4079</f>
        <v>0</v>
      </c>
      <c r="BV106" s="758" t="e">
        <f>#REF!</f>
        <v>#REF!</v>
      </c>
      <c r="BW106" s="759" t="e">
        <f t="shared" si="34"/>
        <v>#REF!</v>
      </c>
      <c r="BX106" s="760">
        <f>BH106-дод5.1!E4079</f>
        <v>0</v>
      </c>
      <c r="CA106" s="760" t="b">
        <f t="shared" si="46"/>
        <v>1</v>
      </c>
      <c r="CC106" s="761">
        <f t="shared" si="36"/>
        <v>0</v>
      </c>
      <c r="CD106" s="501" t="e">
        <f t="shared" si="44"/>
        <v>#REF!</v>
      </c>
    </row>
    <row r="107" spans="1:82" s="463" customFormat="1" ht="23.1" hidden="1" customHeight="1">
      <c r="A107" s="775"/>
      <c r="B107" s="777"/>
      <c r="C107" s="828"/>
      <c r="D107" s="828"/>
      <c r="E107" s="828"/>
      <c r="F107" s="828"/>
      <c r="G107" s="828"/>
      <c r="H107" s="828"/>
      <c r="I107" s="828"/>
      <c r="J107" s="828"/>
      <c r="K107" s="828"/>
      <c r="L107" s="828"/>
      <c r="M107" s="827">
        <f t="shared" si="37"/>
        <v>0</v>
      </c>
      <c r="N107" s="828"/>
      <c r="O107" s="828"/>
      <c r="P107" s="828"/>
      <c r="Q107" s="828"/>
      <c r="R107" s="828"/>
      <c r="S107" s="828"/>
      <c r="T107" s="828"/>
      <c r="U107" s="828"/>
      <c r="V107" s="828"/>
      <c r="W107" s="828"/>
      <c r="X107" s="828"/>
      <c r="Y107" s="828"/>
      <c r="Z107" s="828"/>
      <c r="AA107" s="827">
        <f t="shared" si="39"/>
        <v>0</v>
      </c>
      <c r="AB107" s="828"/>
      <c r="AC107" s="828"/>
      <c r="AD107" s="828"/>
      <c r="AE107" s="828"/>
      <c r="AF107" s="828"/>
      <c r="AG107" s="828"/>
      <c r="AH107" s="828"/>
      <c r="AI107" s="831"/>
      <c r="AJ107" s="828"/>
      <c r="AK107" s="828"/>
      <c r="AL107" s="828"/>
      <c r="AM107" s="828"/>
      <c r="AN107" s="828"/>
      <c r="AO107" s="828"/>
      <c r="AP107" s="828"/>
      <c r="AQ107" s="830">
        <f t="shared" si="49"/>
        <v>0</v>
      </c>
      <c r="AR107" s="830"/>
      <c r="AS107" s="830"/>
      <c r="AT107" s="830"/>
      <c r="AU107" s="830"/>
      <c r="AV107" s="830"/>
      <c r="AW107" s="830"/>
      <c r="AX107" s="830"/>
      <c r="AY107" s="830"/>
      <c r="AZ107" s="830"/>
      <c r="BA107" s="830"/>
      <c r="BB107" s="830"/>
      <c r="BC107" s="830"/>
      <c r="BD107" s="830"/>
      <c r="BE107" s="830"/>
      <c r="BF107" s="830"/>
      <c r="BG107" s="830"/>
      <c r="BH107" s="830">
        <f t="shared" si="50"/>
        <v>0</v>
      </c>
      <c r="BI107" s="979"/>
      <c r="BJ107" s="979"/>
      <c r="BK107" s="979"/>
      <c r="BL107" s="979"/>
      <c r="BM107" s="827"/>
      <c r="BN107" s="827"/>
      <c r="BO107" s="828"/>
      <c r="BP107" s="828"/>
      <c r="BQ107" s="828"/>
      <c r="BR107" s="829">
        <f t="shared" si="51"/>
        <v>0</v>
      </c>
      <c r="BS107" s="758" t="e">
        <f>#REF!</f>
        <v>#REF!</v>
      </c>
      <c r="BT107" s="759" t="e">
        <f t="shared" si="33"/>
        <v>#REF!</v>
      </c>
      <c r="BU107" s="759">
        <f>BR107-дод5.1!C4080</f>
        <v>0</v>
      </c>
      <c r="BV107" s="758" t="e">
        <f>#REF!</f>
        <v>#REF!</v>
      </c>
      <c r="BW107" s="759" t="e">
        <f t="shared" si="34"/>
        <v>#REF!</v>
      </c>
      <c r="BX107" s="760">
        <f>BH107-дод5.1!E4080</f>
        <v>0</v>
      </c>
      <c r="CA107" s="760" t="b">
        <f t="shared" si="46"/>
        <v>1</v>
      </c>
      <c r="CC107" s="761">
        <f t="shared" si="36"/>
        <v>0</v>
      </c>
      <c r="CD107" s="501" t="e">
        <f t="shared" si="44"/>
        <v>#REF!</v>
      </c>
    </row>
    <row r="108" spans="1:82" s="463" customFormat="1" ht="23.1" hidden="1" customHeight="1">
      <c r="A108" s="775"/>
      <c r="B108" s="777"/>
      <c r="C108" s="828"/>
      <c r="D108" s="828"/>
      <c r="E108" s="828"/>
      <c r="F108" s="828"/>
      <c r="G108" s="828"/>
      <c r="H108" s="828"/>
      <c r="I108" s="828"/>
      <c r="J108" s="828"/>
      <c r="K108" s="828"/>
      <c r="L108" s="828"/>
      <c r="M108" s="827">
        <f t="shared" si="37"/>
        <v>0</v>
      </c>
      <c r="N108" s="828"/>
      <c r="O108" s="828"/>
      <c r="P108" s="828"/>
      <c r="Q108" s="828"/>
      <c r="R108" s="828"/>
      <c r="S108" s="828"/>
      <c r="T108" s="828"/>
      <c r="U108" s="828"/>
      <c r="V108" s="828"/>
      <c r="W108" s="828"/>
      <c r="X108" s="828"/>
      <c r="Y108" s="828"/>
      <c r="Z108" s="828"/>
      <c r="AA108" s="827">
        <f t="shared" si="39"/>
        <v>0</v>
      </c>
      <c r="AB108" s="828"/>
      <c r="AC108" s="828"/>
      <c r="AD108" s="828"/>
      <c r="AE108" s="828"/>
      <c r="AF108" s="828"/>
      <c r="AG108" s="828"/>
      <c r="AH108" s="828"/>
      <c r="AI108" s="831"/>
      <c r="AJ108" s="828"/>
      <c r="AK108" s="828"/>
      <c r="AL108" s="828"/>
      <c r="AM108" s="828"/>
      <c r="AN108" s="828"/>
      <c r="AO108" s="828"/>
      <c r="AP108" s="828"/>
      <c r="AQ108" s="830">
        <f t="shared" si="49"/>
        <v>0</v>
      </c>
      <c r="AR108" s="830"/>
      <c r="AS108" s="830"/>
      <c r="AT108" s="830"/>
      <c r="AU108" s="830"/>
      <c r="AV108" s="830"/>
      <c r="AW108" s="830"/>
      <c r="AX108" s="830"/>
      <c r="AY108" s="830"/>
      <c r="AZ108" s="830"/>
      <c r="BA108" s="830"/>
      <c r="BB108" s="830"/>
      <c r="BC108" s="830"/>
      <c r="BD108" s="830"/>
      <c r="BE108" s="830"/>
      <c r="BF108" s="830"/>
      <c r="BG108" s="830"/>
      <c r="BH108" s="830">
        <f t="shared" si="50"/>
        <v>0</v>
      </c>
      <c r="BI108" s="979"/>
      <c r="BJ108" s="979"/>
      <c r="BK108" s="979"/>
      <c r="BL108" s="979"/>
      <c r="BM108" s="827"/>
      <c r="BN108" s="827"/>
      <c r="BO108" s="828"/>
      <c r="BP108" s="828"/>
      <c r="BQ108" s="828"/>
      <c r="BR108" s="829">
        <f t="shared" si="51"/>
        <v>0</v>
      </c>
      <c r="BS108" s="758" t="e">
        <f>#REF!</f>
        <v>#REF!</v>
      </c>
      <c r="BT108" s="759" t="e">
        <f t="shared" si="33"/>
        <v>#REF!</v>
      </c>
      <c r="BU108" s="759">
        <f>BR108-дод5.1!C4081</f>
        <v>0</v>
      </c>
      <c r="BV108" s="758" t="e">
        <f>#REF!</f>
        <v>#REF!</v>
      </c>
      <c r="BW108" s="759" t="e">
        <f t="shared" si="34"/>
        <v>#REF!</v>
      </c>
      <c r="BX108" s="760">
        <f>BH108-дод5.1!E4081</f>
        <v>0</v>
      </c>
      <c r="CA108" s="760" t="b">
        <f t="shared" si="46"/>
        <v>1</v>
      </c>
      <c r="CC108" s="761">
        <f t="shared" si="36"/>
        <v>0</v>
      </c>
      <c r="CD108" s="501" t="e">
        <f t="shared" si="44"/>
        <v>#REF!</v>
      </c>
    </row>
    <row r="109" spans="1:82" s="463" customFormat="1" ht="23.1" hidden="1" customHeight="1">
      <c r="A109" s="775"/>
      <c r="B109" s="777"/>
      <c r="C109" s="828"/>
      <c r="D109" s="828"/>
      <c r="E109" s="828"/>
      <c r="F109" s="828"/>
      <c r="G109" s="828"/>
      <c r="H109" s="828"/>
      <c r="I109" s="828"/>
      <c r="J109" s="828"/>
      <c r="K109" s="828"/>
      <c r="L109" s="828"/>
      <c r="M109" s="827">
        <f t="shared" si="37"/>
        <v>0</v>
      </c>
      <c r="N109" s="828"/>
      <c r="O109" s="828"/>
      <c r="P109" s="828"/>
      <c r="Q109" s="828"/>
      <c r="R109" s="828"/>
      <c r="S109" s="828"/>
      <c r="T109" s="828"/>
      <c r="U109" s="828"/>
      <c r="V109" s="828"/>
      <c r="W109" s="828"/>
      <c r="X109" s="828"/>
      <c r="Y109" s="828"/>
      <c r="Z109" s="828"/>
      <c r="AA109" s="827">
        <f t="shared" si="39"/>
        <v>0</v>
      </c>
      <c r="AB109" s="828"/>
      <c r="AC109" s="828"/>
      <c r="AD109" s="828"/>
      <c r="AE109" s="828"/>
      <c r="AF109" s="828"/>
      <c r="AG109" s="828"/>
      <c r="AH109" s="828"/>
      <c r="AI109" s="831"/>
      <c r="AJ109" s="828"/>
      <c r="AK109" s="828"/>
      <c r="AL109" s="828"/>
      <c r="AM109" s="828"/>
      <c r="AN109" s="828"/>
      <c r="AO109" s="828"/>
      <c r="AP109" s="828"/>
      <c r="AQ109" s="830">
        <f t="shared" si="49"/>
        <v>0</v>
      </c>
      <c r="AR109" s="830"/>
      <c r="AS109" s="830"/>
      <c r="AT109" s="830"/>
      <c r="AU109" s="830"/>
      <c r="AV109" s="830"/>
      <c r="AW109" s="830"/>
      <c r="AX109" s="830"/>
      <c r="AY109" s="830"/>
      <c r="AZ109" s="830"/>
      <c r="BA109" s="830"/>
      <c r="BB109" s="830"/>
      <c r="BC109" s="830"/>
      <c r="BD109" s="830"/>
      <c r="BE109" s="830"/>
      <c r="BF109" s="830"/>
      <c r="BG109" s="830"/>
      <c r="BH109" s="830">
        <f t="shared" si="50"/>
        <v>0</v>
      </c>
      <c r="BI109" s="979"/>
      <c r="BJ109" s="979"/>
      <c r="BK109" s="979"/>
      <c r="BL109" s="979"/>
      <c r="BM109" s="827"/>
      <c r="BN109" s="827"/>
      <c r="BO109" s="828"/>
      <c r="BP109" s="828"/>
      <c r="BQ109" s="828"/>
      <c r="BR109" s="829">
        <f t="shared" si="51"/>
        <v>0</v>
      </c>
      <c r="BS109" s="758" t="e">
        <f>#REF!</f>
        <v>#REF!</v>
      </c>
      <c r="BT109" s="759" t="e">
        <f t="shared" si="33"/>
        <v>#REF!</v>
      </c>
      <c r="BU109" s="759">
        <f>BR109-дод5.1!C4082</f>
        <v>0</v>
      </c>
      <c r="BV109" s="758" t="e">
        <f>#REF!</f>
        <v>#REF!</v>
      </c>
      <c r="BW109" s="759" t="e">
        <f t="shared" si="34"/>
        <v>#REF!</v>
      </c>
      <c r="BX109" s="760">
        <f>BH109-дод5.1!E4082</f>
        <v>0</v>
      </c>
      <c r="CA109" s="760" t="b">
        <f t="shared" si="46"/>
        <v>1</v>
      </c>
      <c r="CC109" s="761">
        <f t="shared" si="36"/>
        <v>0</v>
      </c>
      <c r="CD109" s="501" t="e">
        <f t="shared" si="44"/>
        <v>#REF!</v>
      </c>
    </row>
    <row r="110" spans="1:82" s="463" customFormat="1" ht="23.1" hidden="1" customHeight="1">
      <c r="A110" s="775"/>
      <c r="B110" s="777"/>
      <c r="C110" s="828"/>
      <c r="D110" s="828"/>
      <c r="E110" s="828"/>
      <c r="F110" s="828"/>
      <c r="G110" s="828"/>
      <c r="H110" s="828"/>
      <c r="I110" s="828"/>
      <c r="J110" s="828"/>
      <c r="K110" s="828"/>
      <c r="L110" s="828"/>
      <c r="M110" s="827">
        <f t="shared" si="37"/>
        <v>0</v>
      </c>
      <c r="N110" s="828"/>
      <c r="O110" s="828"/>
      <c r="P110" s="828"/>
      <c r="Q110" s="828"/>
      <c r="R110" s="828"/>
      <c r="S110" s="828"/>
      <c r="T110" s="828"/>
      <c r="U110" s="828"/>
      <c r="V110" s="828"/>
      <c r="W110" s="828"/>
      <c r="X110" s="828"/>
      <c r="Y110" s="828"/>
      <c r="Z110" s="828"/>
      <c r="AA110" s="827">
        <f t="shared" si="39"/>
        <v>0</v>
      </c>
      <c r="AB110" s="828"/>
      <c r="AC110" s="828"/>
      <c r="AD110" s="828"/>
      <c r="AE110" s="828"/>
      <c r="AF110" s="828"/>
      <c r="AG110" s="828"/>
      <c r="AH110" s="828"/>
      <c r="AI110" s="831"/>
      <c r="AJ110" s="828"/>
      <c r="AK110" s="828"/>
      <c r="AL110" s="828"/>
      <c r="AM110" s="828"/>
      <c r="AN110" s="828"/>
      <c r="AO110" s="828"/>
      <c r="AP110" s="828"/>
      <c r="AQ110" s="830">
        <f t="shared" si="49"/>
        <v>0</v>
      </c>
      <c r="AR110" s="830"/>
      <c r="AS110" s="830"/>
      <c r="AT110" s="830"/>
      <c r="AU110" s="830"/>
      <c r="AV110" s="830"/>
      <c r="AW110" s="830"/>
      <c r="AX110" s="830"/>
      <c r="AY110" s="830"/>
      <c r="AZ110" s="830"/>
      <c r="BA110" s="830"/>
      <c r="BB110" s="830"/>
      <c r="BC110" s="830"/>
      <c r="BD110" s="830"/>
      <c r="BE110" s="830"/>
      <c r="BF110" s="830"/>
      <c r="BG110" s="830"/>
      <c r="BH110" s="830">
        <f t="shared" si="50"/>
        <v>0</v>
      </c>
      <c r="BI110" s="979"/>
      <c r="BJ110" s="979"/>
      <c r="BK110" s="979"/>
      <c r="BL110" s="979"/>
      <c r="BM110" s="827"/>
      <c r="BN110" s="827"/>
      <c r="BO110" s="828"/>
      <c r="BP110" s="828"/>
      <c r="BQ110" s="828"/>
      <c r="BR110" s="829">
        <f t="shared" si="51"/>
        <v>0</v>
      </c>
      <c r="BS110" s="758" t="e">
        <f>#REF!</f>
        <v>#REF!</v>
      </c>
      <c r="BT110" s="759" t="e">
        <f t="shared" si="33"/>
        <v>#REF!</v>
      </c>
      <c r="BU110" s="759">
        <f>BR110-дод5.1!C4083</f>
        <v>0</v>
      </c>
      <c r="BV110" s="758" t="e">
        <f>#REF!</f>
        <v>#REF!</v>
      </c>
      <c r="BW110" s="759" t="e">
        <f t="shared" si="34"/>
        <v>#REF!</v>
      </c>
      <c r="BX110" s="760">
        <f>BH110-дод5.1!E4083</f>
        <v>0</v>
      </c>
      <c r="CA110" s="760" t="b">
        <f t="shared" si="46"/>
        <v>1</v>
      </c>
      <c r="CC110" s="761">
        <f t="shared" si="36"/>
        <v>0</v>
      </c>
      <c r="CD110" s="501" t="e">
        <f t="shared" si="44"/>
        <v>#REF!</v>
      </c>
    </row>
    <row r="111" spans="1:82" s="463" customFormat="1" ht="23.1" hidden="1" customHeight="1">
      <c r="A111" s="775"/>
      <c r="B111" s="777"/>
      <c r="C111" s="828"/>
      <c r="D111" s="828"/>
      <c r="E111" s="828"/>
      <c r="F111" s="828"/>
      <c r="G111" s="828"/>
      <c r="H111" s="828"/>
      <c r="I111" s="828"/>
      <c r="J111" s="828"/>
      <c r="K111" s="828"/>
      <c r="L111" s="828"/>
      <c r="M111" s="827">
        <f t="shared" si="37"/>
        <v>0</v>
      </c>
      <c r="N111" s="828"/>
      <c r="O111" s="828"/>
      <c r="P111" s="828"/>
      <c r="Q111" s="828"/>
      <c r="R111" s="828"/>
      <c r="S111" s="828"/>
      <c r="T111" s="828"/>
      <c r="U111" s="828"/>
      <c r="V111" s="828"/>
      <c r="W111" s="828"/>
      <c r="X111" s="828"/>
      <c r="Y111" s="828"/>
      <c r="Z111" s="828"/>
      <c r="AA111" s="827">
        <f t="shared" si="39"/>
        <v>0</v>
      </c>
      <c r="AB111" s="828"/>
      <c r="AC111" s="828"/>
      <c r="AD111" s="828"/>
      <c r="AE111" s="828"/>
      <c r="AF111" s="828"/>
      <c r="AG111" s="828"/>
      <c r="AH111" s="828"/>
      <c r="AI111" s="831"/>
      <c r="AJ111" s="828"/>
      <c r="AK111" s="828"/>
      <c r="AL111" s="828"/>
      <c r="AM111" s="828"/>
      <c r="AN111" s="828"/>
      <c r="AO111" s="828"/>
      <c r="AP111" s="828"/>
      <c r="AQ111" s="830">
        <f t="shared" si="49"/>
        <v>0</v>
      </c>
      <c r="AR111" s="830"/>
      <c r="AS111" s="830"/>
      <c r="AT111" s="830"/>
      <c r="AU111" s="830"/>
      <c r="AV111" s="830"/>
      <c r="AW111" s="830"/>
      <c r="AX111" s="830"/>
      <c r="AY111" s="830"/>
      <c r="AZ111" s="830"/>
      <c r="BA111" s="830"/>
      <c r="BB111" s="830"/>
      <c r="BC111" s="830"/>
      <c r="BD111" s="830"/>
      <c r="BE111" s="830"/>
      <c r="BF111" s="830"/>
      <c r="BG111" s="830"/>
      <c r="BH111" s="830">
        <f t="shared" si="50"/>
        <v>0</v>
      </c>
      <c r="BI111" s="979"/>
      <c r="BJ111" s="979"/>
      <c r="BK111" s="979"/>
      <c r="BL111" s="979"/>
      <c r="BM111" s="827"/>
      <c r="BN111" s="827"/>
      <c r="BO111" s="828"/>
      <c r="BP111" s="828"/>
      <c r="BQ111" s="828"/>
      <c r="BR111" s="829">
        <f t="shared" si="51"/>
        <v>0</v>
      </c>
      <c r="BS111" s="758" t="e">
        <f>#REF!</f>
        <v>#REF!</v>
      </c>
      <c r="BT111" s="759" t="e">
        <f t="shared" si="33"/>
        <v>#REF!</v>
      </c>
      <c r="BU111" s="759">
        <f>BR111-дод5.1!C4084</f>
        <v>0</v>
      </c>
      <c r="BV111" s="758" t="e">
        <f>#REF!</f>
        <v>#REF!</v>
      </c>
      <c r="BW111" s="759" t="e">
        <f t="shared" si="34"/>
        <v>#REF!</v>
      </c>
      <c r="BX111" s="760">
        <f>BH111-дод5.1!E4084</f>
        <v>0</v>
      </c>
      <c r="CA111" s="760" t="b">
        <f t="shared" si="46"/>
        <v>1</v>
      </c>
      <c r="CC111" s="761">
        <f t="shared" si="36"/>
        <v>0</v>
      </c>
      <c r="CD111" s="501" t="e">
        <f t="shared" si="44"/>
        <v>#REF!</v>
      </c>
    </row>
    <row r="112" spans="1:82" s="463" customFormat="1" ht="23.1" hidden="1" customHeight="1">
      <c r="A112" s="775"/>
      <c r="B112" s="777"/>
      <c r="C112" s="828"/>
      <c r="D112" s="828"/>
      <c r="E112" s="828"/>
      <c r="F112" s="828"/>
      <c r="G112" s="828"/>
      <c r="H112" s="828"/>
      <c r="I112" s="828"/>
      <c r="J112" s="828"/>
      <c r="K112" s="828"/>
      <c r="L112" s="828"/>
      <c r="M112" s="827">
        <f t="shared" si="37"/>
        <v>0</v>
      </c>
      <c r="N112" s="828"/>
      <c r="O112" s="828"/>
      <c r="P112" s="828"/>
      <c r="Q112" s="828"/>
      <c r="R112" s="828"/>
      <c r="S112" s="828"/>
      <c r="T112" s="828"/>
      <c r="U112" s="828"/>
      <c r="V112" s="828"/>
      <c r="W112" s="828"/>
      <c r="X112" s="828"/>
      <c r="Y112" s="828"/>
      <c r="Z112" s="828"/>
      <c r="AA112" s="827">
        <f t="shared" si="39"/>
        <v>0</v>
      </c>
      <c r="AB112" s="828"/>
      <c r="AC112" s="828"/>
      <c r="AD112" s="828"/>
      <c r="AE112" s="828"/>
      <c r="AF112" s="828"/>
      <c r="AG112" s="828"/>
      <c r="AH112" s="828"/>
      <c r="AI112" s="831"/>
      <c r="AJ112" s="828"/>
      <c r="AK112" s="828"/>
      <c r="AL112" s="828"/>
      <c r="AM112" s="828"/>
      <c r="AN112" s="828"/>
      <c r="AO112" s="828"/>
      <c r="AP112" s="828"/>
      <c r="AQ112" s="830">
        <f t="shared" si="49"/>
        <v>0</v>
      </c>
      <c r="AR112" s="830"/>
      <c r="AS112" s="830"/>
      <c r="AT112" s="830"/>
      <c r="AU112" s="830"/>
      <c r="AV112" s="830"/>
      <c r="AW112" s="830"/>
      <c r="AX112" s="830"/>
      <c r="AY112" s="830"/>
      <c r="AZ112" s="830"/>
      <c r="BA112" s="830"/>
      <c r="BB112" s="830"/>
      <c r="BC112" s="830"/>
      <c r="BD112" s="830"/>
      <c r="BE112" s="830"/>
      <c r="BF112" s="830"/>
      <c r="BG112" s="830"/>
      <c r="BH112" s="830">
        <f t="shared" si="50"/>
        <v>0</v>
      </c>
      <c r="BI112" s="979"/>
      <c r="BJ112" s="979"/>
      <c r="BK112" s="979"/>
      <c r="BL112" s="979"/>
      <c r="BM112" s="827"/>
      <c r="BN112" s="827"/>
      <c r="BO112" s="828"/>
      <c r="BP112" s="828"/>
      <c r="BQ112" s="828"/>
      <c r="BR112" s="829">
        <f t="shared" si="51"/>
        <v>0</v>
      </c>
      <c r="BS112" s="758" t="e">
        <f>#REF!</f>
        <v>#REF!</v>
      </c>
      <c r="BT112" s="759" t="e">
        <f t="shared" ref="BT112:BT118" si="52">BS112-AQ112</f>
        <v>#REF!</v>
      </c>
      <c r="BU112" s="759">
        <f>BR112-дод5.1!C4085</f>
        <v>0</v>
      </c>
      <c r="BV112" s="758" t="e">
        <f>#REF!</f>
        <v>#REF!</v>
      </c>
      <c r="BW112" s="759" t="e">
        <f t="shared" ref="BW112:BW118" si="53">BV112-BH112</f>
        <v>#REF!</v>
      </c>
      <c r="BX112" s="760">
        <f>BH112-дод5.1!E4085</f>
        <v>0</v>
      </c>
      <c r="CA112" s="760" t="b">
        <f t="shared" si="46"/>
        <v>1</v>
      </c>
      <c r="CC112" s="761">
        <f t="shared" ref="CC112:CC118" si="54">BH112+AQ112</f>
        <v>0</v>
      </c>
      <c r="CD112" s="501" t="e">
        <f t="shared" si="44"/>
        <v>#REF!</v>
      </c>
    </row>
    <row r="113" spans="1:82" s="463" customFormat="1" ht="23.1" hidden="1" customHeight="1">
      <c r="A113" s="775"/>
      <c r="B113" s="777"/>
      <c r="C113" s="828"/>
      <c r="D113" s="828"/>
      <c r="E113" s="828"/>
      <c r="F113" s="828"/>
      <c r="G113" s="828"/>
      <c r="H113" s="828"/>
      <c r="I113" s="828"/>
      <c r="J113" s="828"/>
      <c r="K113" s="828"/>
      <c r="L113" s="828"/>
      <c r="M113" s="827">
        <f t="shared" si="37"/>
        <v>0</v>
      </c>
      <c r="N113" s="828"/>
      <c r="O113" s="828"/>
      <c r="P113" s="828"/>
      <c r="Q113" s="828"/>
      <c r="R113" s="828"/>
      <c r="S113" s="828"/>
      <c r="T113" s="828"/>
      <c r="U113" s="828"/>
      <c r="V113" s="828"/>
      <c r="W113" s="828"/>
      <c r="X113" s="828"/>
      <c r="Y113" s="828"/>
      <c r="Z113" s="828"/>
      <c r="AA113" s="827">
        <f t="shared" si="39"/>
        <v>0</v>
      </c>
      <c r="AB113" s="828"/>
      <c r="AC113" s="828"/>
      <c r="AD113" s="828"/>
      <c r="AE113" s="828"/>
      <c r="AF113" s="828"/>
      <c r="AG113" s="828"/>
      <c r="AH113" s="828"/>
      <c r="AI113" s="831"/>
      <c r="AJ113" s="828"/>
      <c r="AK113" s="828"/>
      <c r="AL113" s="828"/>
      <c r="AM113" s="828"/>
      <c r="AN113" s="828"/>
      <c r="AO113" s="828"/>
      <c r="AP113" s="828"/>
      <c r="AQ113" s="830">
        <f t="shared" si="49"/>
        <v>0</v>
      </c>
      <c r="AR113" s="830"/>
      <c r="AS113" s="830"/>
      <c r="AT113" s="830"/>
      <c r="AU113" s="830"/>
      <c r="AV113" s="830"/>
      <c r="AW113" s="830"/>
      <c r="AX113" s="830"/>
      <c r="AY113" s="830"/>
      <c r="AZ113" s="830"/>
      <c r="BA113" s="830"/>
      <c r="BB113" s="830"/>
      <c r="BC113" s="830"/>
      <c r="BD113" s="830"/>
      <c r="BE113" s="830"/>
      <c r="BF113" s="830"/>
      <c r="BG113" s="830"/>
      <c r="BH113" s="830">
        <f t="shared" si="50"/>
        <v>0</v>
      </c>
      <c r="BI113" s="979"/>
      <c r="BJ113" s="979"/>
      <c r="BK113" s="979"/>
      <c r="BL113" s="979"/>
      <c r="BM113" s="827"/>
      <c r="BN113" s="827"/>
      <c r="BO113" s="828"/>
      <c r="BP113" s="828"/>
      <c r="BQ113" s="828"/>
      <c r="BR113" s="829">
        <f t="shared" si="51"/>
        <v>0</v>
      </c>
      <c r="BS113" s="758" t="e">
        <f>#REF!</f>
        <v>#REF!</v>
      </c>
      <c r="BT113" s="759" t="e">
        <f t="shared" si="52"/>
        <v>#REF!</v>
      </c>
      <c r="BU113" s="759">
        <f>BR113-дод5.1!C4086</f>
        <v>0</v>
      </c>
      <c r="BV113" s="758" t="e">
        <f>#REF!</f>
        <v>#REF!</v>
      </c>
      <c r="BW113" s="759" t="e">
        <f t="shared" si="53"/>
        <v>#REF!</v>
      </c>
      <c r="BX113" s="760">
        <f>BH113-дод5.1!E4086</f>
        <v>0</v>
      </c>
      <c r="CA113" s="760" t="b">
        <f t="shared" si="46"/>
        <v>1</v>
      </c>
      <c r="CC113" s="761">
        <f t="shared" si="54"/>
        <v>0</v>
      </c>
      <c r="CD113" s="501" t="e">
        <f t="shared" si="44"/>
        <v>#REF!</v>
      </c>
    </row>
    <row r="114" spans="1:82">
      <c r="A114" s="778"/>
      <c r="B114" s="771" t="s">
        <v>108</v>
      </c>
      <c r="C114" s="828">
        <f>SUM(C96:C113)+C95+C45+C21</f>
        <v>402476000</v>
      </c>
      <c r="D114" s="828">
        <f t="shared" ref="D114:BQ114" si="55">SUM(D96:D113)+D95+D45+D21</f>
        <v>301562715</v>
      </c>
      <c r="E114" s="828">
        <f t="shared" si="55"/>
        <v>100913285</v>
      </c>
      <c r="F114" s="828">
        <f t="shared" si="55"/>
        <v>2672953700</v>
      </c>
      <c r="G114" s="828">
        <f t="shared" si="55"/>
        <v>200584800</v>
      </c>
      <c r="H114" s="828">
        <f t="shared" si="55"/>
        <v>1907803600</v>
      </c>
      <c r="I114" s="828">
        <f>SUM(I96:I113)+I95+I45+I21</f>
        <v>577044</v>
      </c>
      <c r="J114" s="828">
        <f t="shared" si="55"/>
        <v>44899923.649999999</v>
      </c>
      <c r="K114" s="828">
        <f t="shared" si="55"/>
        <v>23817953</v>
      </c>
      <c r="L114" s="828">
        <f t="shared" si="55"/>
        <v>36167500</v>
      </c>
      <c r="M114" s="828">
        <f t="shared" si="55"/>
        <v>763000</v>
      </c>
      <c r="N114" s="828">
        <f t="shared" si="55"/>
        <v>663000</v>
      </c>
      <c r="O114" s="828">
        <f t="shared" si="55"/>
        <v>100000</v>
      </c>
      <c r="P114" s="828">
        <f t="shared" si="55"/>
        <v>2759650.52</v>
      </c>
      <c r="Q114" s="828">
        <f t="shared" si="55"/>
        <v>81018900</v>
      </c>
      <c r="R114" s="828">
        <f>SUM(R96:R113)+R95+R45+R21</f>
        <v>27991900</v>
      </c>
      <c r="S114" s="828">
        <f>SUM(S96:S113)+S95+S45+S21</f>
        <v>898500</v>
      </c>
      <c r="T114" s="828">
        <f t="shared" si="55"/>
        <v>34467500</v>
      </c>
      <c r="U114" s="828">
        <f t="shared" si="55"/>
        <v>0</v>
      </c>
      <c r="V114" s="828">
        <f t="shared" si="55"/>
        <v>0</v>
      </c>
      <c r="W114" s="828">
        <f t="shared" si="55"/>
        <v>19300600</v>
      </c>
      <c r="X114" s="828">
        <f t="shared" si="55"/>
        <v>1057900</v>
      </c>
      <c r="Y114" s="828">
        <f t="shared" si="55"/>
        <v>18242700</v>
      </c>
      <c r="Z114" s="828">
        <f t="shared" si="55"/>
        <v>0</v>
      </c>
      <c r="AA114" s="828">
        <f t="shared" si="55"/>
        <v>11452100</v>
      </c>
      <c r="AB114" s="828">
        <f t="shared" si="55"/>
        <v>8051600</v>
      </c>
      <c r="AC114" s="828">
        <f t="shared" si="55"/>
        <v>3400500</v>
      </c>
      <c r="AD114" s="828">
        <f t="shared" ref="AD114:AI114" si="56">SUM(AD96:AD113)+AD95+AD45+AD21</f>
        <v>38124730</v>
      </c>
      <c r="AE114" s="828">
        <f t="shared" si="56"/>
        <v>1409730</v>
      </c>
      <c r="AF114" s="828">
        <f t="shared" si="56"/>
        <v>14644580</v>
      </c>
      <c r="AG114" s="828">
        <f t="shared" si="56"/>
        <v>14755780</v>
      </c>
      <c r="AH114" s="828">
        <f t="shared" si="56"/>
        <v>7314640</v>
      </c>
      <c r="AI114" s="831">
        <f t="shared" si="56"/>
        <v>36715000</v>
      </c>
      <c r="AJ114" s="828">
        <f t="shared" si="55"/>
        <v>0</v>
      </c>
      <c r="AK114" s="828">
        <f t="shared" si="55"/>
        <v>0</v>
      </c>
      <c r="AL114" s="828">
        <f t="shared" si="55"/>
        <v>2559800</v>
      </c>
      <c r="AM114" s="828">
        <f t="shared" si="55"/>
        <v>8700</v>
      </c>
      <c r="AN114" s="828">
        <f t="shared" si="55"/>
        <v>0</v>
      </c>
      <c r="AO114" s="828">
        <f t="shared" si="55"/>
        <v>0</v>
      </c>
      <c r="AP114" s="828">
        <f>SUM(AP96:AP113)+AP95+AP45+AP21</f>
        <v>8322902.129999999</v>
      </c>
      <c r="AQ114" s="828">
        <f t="shared" si="55"/>
        <v>40713135</v>
      </c>
      <c r="AR114" s="828">
        <f t="shared" si="55"/>
        <v>18075773</v>
      </c>
      <c r="AS114" s="828">
        <f t="shared" si="55"/>
        <v>7584662</v>
      </c>
      <c r="AT114" s="828">
        <f t="shared" ref="AT114:BF114" si="57">SUM(AT96:AT113)+AT95+AT45+AT21</f>
        <v>13202700</v>
      </c>
      <c r="AU114" s="828">
        <f t="shared" si="57"/>
        <v>100000</v>
      </c>
      <c r="AV114" s="828">
        <f t="shared" si="57"/>
        <v>1700000</v>
      </c>
      <c r="AW114" s="828">
        <f t="shared" si="57"/>
        <v>50000</v>
      </c>
      <c r="AX114" s="828">
        <f t="shared" si="57"/>
        <v>0</v>
      </c>
      <c r="AY114" s="828">
        <f t="shared" si="57"/>
        <v>6267000</v>
      </c>
      <c r="AZ114" s="828">
        <f t="shared" si="57"/>
        <v>332444</v>
      </c>
      <c r="BA114" s="828">
        <f t="shared" si="57"/>
        <v>93444</v>
      </c>
      <c r="BB114" s="828">
        <f t="shared" si="57"/>
        <v>74000</v>
      </c>
      <c r="BC114" s="828">
        <f t="shared" si="57"/>
        <v>15000</v>
      </c>
      <c r="BD114" s="828">
        <f t="shared" si="57"/>
        <v>150000</v>
      </c>
      <c r="BE114" s="828">
        <f t="shared" si="57"/>
        <v>5687542</v>
      </c>
      <c r="BF114" s="828">
        <f t="shared" si="57"/>
        <v>1000000</v>
      </c>
      <c r="BG114" s="828">
        <f>SUM(BG96:BG113)+BG95+BG45+BG21</f>
        <v>2670300</v>
      </c>
      <c r="BH114" s="828">
        <f>SUM(BH96:BH113)+BH95+BH45+BH21</f>
        <v>32603255.949999999</v>
      </c>
      <c r="BI114" s="828">
        <f t="shared" si="55"/>
        <v>15595889</v>
      </c>
      <c r="BJ114" s="828">
        <f t="shared" si="55"/>
        <v>11231599</v>
      </c>
      <c r="BK114" s="828">
        <f t="shared" si="55"/>
        <v>2700000</v>
      </c>
      <c r="BL114" s="828">
        <f t="shared" si="55"/>
        <v>0</v>
      </c>
      <c r="BM114" s="828">
        <f t="shared" si="55"/>
        <v>450000</v>
      </c>
      <c r="BN114" s="828">
        <f>SUM(BN96:BN113)+BN95+BN45+BN21</f>
        <v>1146200.95</v>
      </c>
      <c r="BO114" s="828">
        <f t="shared" si="55"/>
        <v>1479567</v>
      </c>
      <c r="BP114" s="828">
        <f t="shared" si="55"/>
        <v>170000</v>
      </c>
      <c r="BQ114" s="828">
        <f t="shared" si="55"/>
        <v>1309567</v>
      </c>
      <c r="BR114" s="828">
        <f>SUM(BR96:BR113)+BR95+BR45+BR21</f>
        <v>5577323380.25</v>
      </c>
      <c r="BS114" s="758" t="e">
        <f>BS95+BS45+BS21</f>
        <v>#REF!</v>
      </c>
      <c r="BT114" s="759" t="e">
        <f>BS114-AQ114</f>
        <v>#REF!</v>
      </c>
      <c r="BU114" s="759">
        <f>AQ114-дод5.1!D4161</f>
        <v>0</v>
      </c>
      <c r="BV114" s="757" t="e">
        <f>#REF!</f>
        <v>#REF!</v>
      </c>
      <c r="BW114" s="759" t="e">
        <f t="shared" si="53"/>
        <v>#REF!</v>
      </c>
      <c r="BX114" s="767">
        <f>BH114-дод5.1!E4161</f>
        <v>0</v>
      </c>
      <c r="BY114" s="463"/>
      <c r="BZ114" s="463">
        <f>SUM(BZ96:BZ113)+BZ95+BZ45+BZ21</f>
        <v>0</v>
      </c>
      <c r="CA114" s="760" t="b">
        <f t="shared" si="46"/>
        <v>1</v>
      </c>
      <c r="CC114" s="761">
        <f t="shared" si="54"/>
        <v>73316390.950000003</v>
      </c>
      <c r="CD114" s="501" t="e">
        <f t="shared" si="44"/>
        <v>#REF!</v>
      </c>
    </row>
    <row r="115" spans="1:82" ht="17.45" customHeight="1">
      <c r="A115" s="778"/>
      <c r="B115" s="711" t="s">
        <v>241</v>
      </c>
      <c r="C115" s="828"/>
      <c r="D115" s="828"/>
      <c r="E115" s="827"/>
      <c r="F115" s="828"/>
      <c r="G115" s="828"/>
      <c r="H115" s="828"/>
      <c r="I115" s="828"/>
      <c r="J115" s="828"/>
      <c r="K115" s="828"/>
      <c r="L115" s="828"/>
      <c r="M115" s="827">
        <f t="shared" si="37"/>
        <v>0</v>
      </c>
      <c r="N115" s="828"/>
      <c r="O115" s="828"/>
      <c r="P115" s="828"/>
      <c r="Q115" s="828"/>
      <c r="R115" s="828"/>
      <c r="S115" s="828"/>
      <c r="T115" s="828"/>
      <c r="U115" s="828"/>
      <c r="V115" s="828"/>
      <c r="W115" s="827">
        <f>SUM(X115:Z115)</f>
        <v>0</v>
      </c>
      <c r="X115" s="828"/>
      <c r="Y115" s="828"/>
      <c r="Z115" s="828"/>
      <c r="AA115" s="827">
        <f t="shared" si="39"/>
        <v>0</v>
      </c>
      <c r="AB115" s="828"/>
      <c r="AC115" s="828"/>
      <c r="AD115" s="828"/>
      <c r="AE115" s="828"/>
      <c r="AF115" s="828"/>
      <c r="AG115" s="828"/>
      <c r="AH115" s="828"/>
      <c r="AI115" s="831"/>
      <c r="AJ115" s="828"/>
      <c r="AK115" s="828"/>
      <c r="AL115" s="828"/>
      <c r="AM115" s="828"/>
      <c r="AN115" s="981">
        <f>2964975+212778+963500+94000-35000+73000+386759+257702+2857550+319900+31104+5000+51063+2743+1252550+280000+283541+27165</f>
        <v>10028330</v>
      </c>
      <c r="AO115" s="828"/>
      <c r="AP115" s="828"/>
      <c r="AQ115" s="830">
        <f>SUM(AR115:AW115)</f>
        <v>0</v>
      </c>
      <c r="AR115" s="979"/>
      <c r="AS115" s="979"/>
      <c r="AT115" s="979"/>
      <c r="AU115" s="979"/>
      <c r="AV115" s="979"/>
      <c r="AW115" s="828"/>
      <c r="AX115" s="827">
        <f>2958825+1000000+36500+153742+35000+27000+1027000+967550+42298+125000-31104-51063+122257+669550+43000+7887</f>
        <v>7133442</v>
      </c>
      <c r="AY115" s="828"/>
      <c r="AZ115" s="827">
        <f>SUM(BA115:BD115)</f>
        <v>0</v>
      </c>
      <c r="BA115" s="827"/>
      <c r="BB115" s="828"/>
      <c r="BC115" s="828"/>
      <c r="BD115" s="828"/>
      <c r="BE115" s="828"/>
      <c r="BF115" s="828"/>
      <c r="BG115" s="828"/>
      <c r="BH115" s="830">
        <f>SUM(BI115:BO115)</f>
        <v>0</v>
      </c>
      <c r="BI115" s="979"/>
      <c r="BJ115" s="979"/>
      <c r="BK115" s="979"/>
      <c r="BL115" s="979"/>
      <c r="BM115" s="828"/>
      <c r="BN115" s="828"/>
      <c r="BO115" s="828"/>
      <c r="BP115" s="828"/>
      <c r="BQ115" s="828"/>
      <c r="BR115" s="829">
        <f>C115+F115+G115+H115+J115+L115+M115+P115+Q115+T115+U115+V115+W115+AA115+AJ115+AK115+AL115+AN115+AO115+AQ115+AX115+AY115+AZ115+BH115+BF115+AP115+BE115+AD115+BG115+K115+I115</f>
        <v>17161772</v>
      </c>
      <c r="BS115" s="763">
        <v>0</v>
      </c>
      <c r="BT115" s="759">
        <f t="shared" si="52"/>
        <v>0</v>
      </c>
      <c r="BU115" s="759">
        <f>AQ115</f>
        <v>0</v>
      </c>
      <c r="BV115" s="763"/>
      <c r="BW115" s="759">
        <f t="shared" si="53"/>
        <v>0</v>
      </c>
      <c r="BX115" s="760">
        <f>BH115</f>
        <v>0</v>
      </c>
      <c r="BY115" s="463"/>
      <c r="BZ115" s="463"/>
      <c r="CA115" s="760" t="b">
        <f t="shared" si="46"/>
        <v>1</v>
      </c>
      <c r="CC115" s="761">
        <f t="shared" si="54"/>
        <v>0</v>
      </c>
      <c r="CD115" s="501">
        <f t="shared" si="44"/>
        <v>0</v>
      </c>
    </row>
    <row r="116" spans="1:82" hidden="1">
      <c r="A116" s="778"/>
      <c r="B116" s="711" t="s">
        <v>293</v>
      </c>
      <c r="C116" s="828"/>
      <c r="D116" s="828"/>
      <c r="E116" s="827"/>
      <c r="F116" s="828"/>
      <c r="G116" s="828"/>
      <c r="H116" s="828"/>
      <c r="I116" s="828"/>
      <c r="J116" s="828"/>
      <c r="K116" s="828"/>
      <c r="L116" s="828"/>
      <c r="M116" s="827">
        <f t="shared" si="37"/>
        <v>0</v>
      </c>
      <c r="N116" s="828"/>
      <c r="O116" s="828"/>
      <c r="P116" s="828"/>
      <c r="Q116" s="828"/>
      <c r="R116" s="828"/>
      <c r="S116" s="828"/>
      <c r="T116" s="828"/>
      <c r="U116" s="828"/>
      <c r="V116" s="828"/>
      <c r="W116" s="827">
        <f>SUM(X116:Z116)</f>
        <v>0</v>
      </c>
      <c r="X116" s="828"/>
      <c r="Y116" s="828"/>
      <c r="Z116" s="828"/>
      <c r="AA116" s="827">
        <f t="shared" si="39"/>
        <v>0</v>
      </c>
      <c r="AB116" s="828"/>
      <c r="AC116" s="828"/>
      <c r="AD116" s="828"/>
      <c r="AE116" s="828"/>
      <c r="AF116" s="828"/>
      <c r="AG116" s="828"/>
      <c r="AH116" s="828"/>
      <c r="AI116" s="831"/>
      <c r="AJ116" s="828"/>
      <c r="AK116" s="828"/>
      <c r="AL116" s="828"/>
      <c r="AM116" s="828"/>
      <c r="AN116" s="981"/>
      <c r="AO116" s="828"/>
      <c r="AP116" s="828"/>
      <c r="AQ116" s="830">
        <f>SUM(AR116:AW116)</f>
        <v>0</v>
      </c>
      <c r="AR116" s="979"/>
      <c r="AS116" s="979"/>
      <c r="AT116" s="979"/>
      <c r="AU116" s="979"/>
      <c r="AV116" s="979"/>
      <c r="AW116" s="828"/>
      <c r="AX116" s="828"/>
      <c r="AY116" s="828"/>
      <c r="AZ116" s="827">
        <f>SUM(BA116:BD116)</f>
        <v>0</v>
      </c>
      <c r="BA116" s="827"/>
      <c r="BB116" s="828"/>
      <c r="BC116" s="828"/>
      <c r="BD116" s="828"/>
      <c r="BE116" s="828"/>
      <c r="BF116" s="828"/>
      <c r="BG116" s="828"/>
      <c r="BH116" s="830">
        <f>SUM(BI116:BO116)</f>
        <v>0</v>
      </c>
      <c r="BI116" s="979"/>
      <c r="BJ116" s="979"/>
      <c r="BK116" s="979"/>
      <c r="BL116" s="979"/>
      <c r="BM116" s="828"/>
      <c r="BN116" s="828"/>
      <c r="BO116" s="828"/>
      <c r="BP116" s="828"/>
      <c r="BQ116" s="828"/>
      <c r="BR116" s="829">
        <f>C116+F116+G116+H116+J116+L116+M116+P116+Q116+T116+U116+V116+W116+AA116+AJ116+AK116+AL116+AN116+AO116+AQ116+AX116+AY116+AZ116+BH116+BF116+AP116+BE116+AD116+BG116+K116+I116</f>
        <v>0</v>
      </c>
      <c r="BS116" s="763" t="e">
        <f>#REF!</f>
        <v>#REF!</v>
      </c>
      <c r="BT116" s="759" t="e">
        <f t="shared" si="52"/>
        <v>#REF!</v>
      </c>
      <c r="BU116" s="759">
        <f>AQ116</f>
        <v>0</v>
      </c>
      <c r="BV116" s="763"/>
      <c r="BW116" s="759">
        <f t="shared" si="53"/>
        <v>0</v>
      </c>
      <c r="BX116" s="760">
        <f>BH116</f>
        <v>0</v>
      </c>
      <c r="BY116" s="463"/>
      <c r="BZ116" s="463"/>
      <c r="CA116" s="760" t="b">
        <f t="shared" si="46"/>
        <v>1</v>
      </c>
      <c r="CC116" s="761">
        <f t="shared" si="54"/>
        <v>0</v>
      </c>
      <c r="CD116" s="501" t="e">
        <f t="shared" si="44"/>
        <v>#REF!</v>
      </c>
    </row>
    <row r="117" spans="1:82" ht="18.600000000000001" customHeight="1">
      <c r="A117" s="778"/>
      <c r="B117" s="711" t="s">
        <v>252</v>
      </c>
      <c r="C117" s="828"/>
      <c r="D117" s="828"/>
      <c r="E117" s="827"/>
      <c r="F117" s="827"/>
      <c r="G117" s="828"/>
      <c r="H117" s="828"/>
      <c r="I117" s="828"/>
      <c r="J117" s="827"/>
      <c r="K117" s="827">
        <f>736814-589544-147270</f>
        <v>0</v>
      </c>
      <c r="L117" s="828"/>
      <c r="M117" s="827">
        <f t="shared" si="37"/>
        <v>0</v>
      </c>
      <c r="N117" s="828"/>
      <c r="O117" s="828"/>
      <c r="P117" s="828"/>
      <c r="Q117" s="828"/>
      <c r="R117" s="828"/>
      <c r="S117" s="828"/>
      <c r="T117" s="827"/>
      <c r="U117" s="827"/>
      <c r="V117" s="827"/>
      <c r="W117" s="827">
        <f>SUM(X117:Z117)</f>
        <v>23069549</v>
      </c>
      <c r="X117" s="828"/>
      <c r="Y117" s="828">
        <v>20810849</v>
      </c>
      <c r="Z117" s="828">
        <v>2258700</v>
      </c>
      <c r="AA117" s="827">
        <f t="shared" si="39"/>
        <v>0</v>
      </c>
      <c r="AB117" s="828"/>
      <c r="AC117" s="827">
        <f>113350-113350</f>
        <v>0</v>
      </c>
      <c r="AD117" s="827">
        <f>SUM(AE117:AH117)</f>
        <v>70139</v>
      </c>
      <c r="AE117" s="827">
        <f>10511639-41500-10400000</f>
        <v>70139</v>
      </c>
      <c r="AF117" s="827"/>
      <c r="AG117" s="827"/>
      <c r="AH117" s="827"/>
      <c r="AI117" s="978"/>
      <c r="AJ117" s="827"/>
      <c r="AK117" s="827"/>
      <c r="AL117" s="827"/>
      <c r="AM117" s="827"/>
      <c r="AN117" s="981"/>
      <c r="AO117" s="828"/>
      <c r="AP117" s="827">
        <f>18255500-4846411.4-1082706.5-749384.23-1644400</f>
        <v>9932597.8699999992</v>
      </c>
      <c r="AQ117" s="830">
        <f>SUM(AR117:AW117)</f>
        <v>0</v>
      </c>
      <c r="AR117" s="830"/>
      <c r="AS117" s="830"/>
      <c r="AT117" s="830"/>
      <c r="AU117" s="830"/>
      <c r="AV117" s="830"/>
      <c r="AW117" s="828"/>
      <c r="AX117" s="828"/>
      <c r="AY117" s="827"/>
      <c r="AZ117" s="827">
        <f>SUM(BA117:BD117)</f>
        <v>0</v>
      </c>
      <c r="BA117" s="827"/>
      <c r="BB117" s="828"/>
      <c r="BC117" s="828"/>
      <c r="BD117" s="828"/>
      <c r="BE117" s="828"/>
      <c r="BF117" s="828"/>
      <c r="BG117" s="828"/>
      <c r="BH117" s="830">
        <f>SUM(BI117:BO117)</f>
        <v>0</v>
      </c>
      <c r="BI117" s="979"/>
      <c r="BJ117" s="979"/>
      <c r="BK117" s="979"/>
      <c r="BL117" s="830">
        <f>500000-260000-240000</f>
        <v>0</v>
      </c>
      <c r="BM117" s="827">
        <f>210000+240000-200000-150000-100000</f>
        <v>0</v>
      </c>
      <c r="BN117" s="828"/>
      <c r="BO117" s="828">
        <f>SUM(BP117:BQ117)</f>
        <v>0</v>
      </c>
      <c r="BP117" s="828"/>
      <c r="BQ117" s="828"/>
      <c r="BR117" s="829">
        <f>C117+F117+G117+H117+J117+L117+M117+P117+Q117+T117+U117+V117+W117+AA117+AJ117+AK117+AL117+AN117+AO117+AQ117+AX117+AY117+AZ117+BH117+BF117+AP117+BE117+AD117+BG117+K117+I117</f>
        <v>33072285.869999997</v>
      </c>
      <c r="BS117" s="763">
        <f>AQ117</f>
        <v>0</v>
      </c>
      <c r="BT117" s="759">
        <f t="shared" si="52"/>
        <v>0</v>
      </c>
      <c r="BU117" s="759">
        <f>AQ117-дод5.1!D4166</f>
        <v>0</v>
      </c>
      <c r="BV117" s="763">
        <f>BH117</f>
        <v>0</v>
      </c>
      <c r="BW117" s="759">
        <f t="shared" si="53"/>
        <v>0</v>
      </c>
      <c r="BX117" s="760">
        <f>BH117-дод5.1!E4166</f>
        <v>0</v>
      </c>
      <c r="BY117" s="463"/>
      <c r="BZ117" s="463"/>
      <c r="CA117" s="760" t="b">
        <f t="shared" si="46"/>
        <v>1</v>
      </c>
      <c r="CC117" s="761">
        <f t="shared" si="54"/>
        <v>0</v>
      </c>
      <c r="CD117" s="501">
        <f t="shared" si="44"/>
        <v>0</v>
      </c>
    </row>
    <row r="118" spans="1:82" ht="19.5" customHeight="1">
      <c r="A118" s="779"/>
      <c r="B118" s="780" t="s">
        <v>302</v>
      </c>
      <c r="C118" s="832">
        <f>SUM(C114:C117)</f>
        <v>402476000</v>
      </c>
      <c r="D118" s="832">
        <f t="shared" ref="D118:BQ118" si="58">SUM(D114:D117)</f>
        <v>301562715</v>
      </c>
      <c r="E118" s="832">
        <f t="shared" si="58"/>
        <v>100913285</v>
      </c>
      <c r="F118" s="832">
        <f t="shared" si="58"/>
        <v>2672953700</v>
      </c>
      <c r="G118" s="832">
        <f t="shared" si="58"/>
        <v>200584800</v>
      </c>
      <c r="H118" s="832">
        <f t="shared" si="58"/>
        <v>1907803600</v>
      </c>
      <c r="I118" s="832">
        <f>SUM(I114:I117)</f>
        <v>577044</v>
      </c>
      <c r="J118" s="832">
        <f t="shared" si="58"/>
        <v>44899923.649999999</v>
      </c>
      <c r="K118" s="832">
        <f t="shared" si="58"/>
        <v>23817953</v>
      </c>
      <c r="L118" s="832">
        <f t="shared" si="58"/>
        <v>36167500</v>
      </c>
      <c r="M118" s="832">
        <f t="shared" si="58"/>
        <v>763000</v>
      </c>
      <c r="N118" s="832">
        <f t="shared" si="58"/>
        <v>663000</v>
      </c>
      <c r="O118" s="832">
        <f t="shared" si="58"/>
        <v>100000</v>
      </c>
      <c r="P118" s="832">
        <f t="shared" si="58"/>
        <v>2759650.52</v>
      </c>
      <c r="Q118" s="832">
        <f t="shared" si="58"/>
        <v>81018900</v>
      </c>
      <c r="R118" s="832">
        <f>SUM(R114:R117)</f>
        <v>27991900</v>
      </c>
      <c r="S118" s="832">
        <f>SUM(S114:S117)</f>
        <v>898500</v>
      </c>
      <c r="T118" s="832">
        <f t="shared" si="58"/>
        <v>34467500</v>
      </c>
      <c r="U118" s="832">
        <f t="shared" si="58"/>
        <v>0</v>
      </c>
      <c r="V118" s="832">
        <f t="shared" si="58"/>
        <v>0</v>
      </c>
      <c r="W118" s="832">
        <f t="shared" si="58"/>
        <v>42370149</v>
      </c>
      <c r="X118" s="832">
        <f t="shared" si="58"/>
        <v>1057900</v>
      </c>
      <c r="Y118" s="832">
        <f t="shared" si="58"/>
        <v>39053549</v>
      </c>
      <c r="Z118" s="832">
        <f t="shared" si="58"/>
        <v>2258700</v>
      </c>
      <c r="AA118" s="832">
        <f t="shared" si="58"/>
        <v>11452100</v>
      </c>
      <c r="AB118" s="832">
        <f t="shared" si="58"/>
        <v>8051600</v>
      </c>
      <c r="AC118" s="832">
        <f t="shared" si="58"/>
        <v>3400500</v>
      </c>
      <c r="AD118" s="832">
        <f t="shared" si="58"/>
        <v>38194869</v>
      </c>
      <c r="AE118" s="832">
        <f>SUM(AE114:AE117)</f>
        <v>1479869</v>
      </c>
      <c r="AF118" s="832">
        <f>SUM(AF114:AF117)</f>
        <v>14644580</v>
      </c>
      <c r="AG118" s="832">
        <f>SUM(AG114:AG117)</f>
        <v>14755780</v>
      </c>
      <c r="AH118" s="832">
        <f>SUM(AH114:AH117)</f>
        <v>7314640</v>
      </c>
      <c r="AI118" s="833">
        <f>SUM(AI114:AI117)</f>
        <v>36715000</v>
      </c>
      <c r="AJ118" s="832">
        <f t="shared" si="58"/>
        <v>0</v>
      </c>
      <c r="AK118" s="832">
        <f t="shared" si="58"/>
        <v>0</v>
      </c>
      <c r="AL118" s="832">
        <f t="shared" si="58"/>
        <v>2559800</v>
      </c>
      <c r="AM118" s="832">
        <f t="shared" si="58"/>
        <v>8700</v>
      </c>
      <c r="AN118" s="832">
        <f t="shared" si="58"/>
        <v>10028330</v>
      </c>
      <c r="AO118" s="832">
        <f t="shared" si="58"/>
        <v>0</v>
      </c>
      <c r="AP118" s="832">
        <f>SUM(AP114:AP117)</f>
        <v>18255500</v>
      </c>
      <c r="AQ118" s="832">
        <f>SUM(AQ114:AQ117)</f>
        <v>40713135</v>
      </c>
      <c r="AR118" s="832">
        <f t="shared" ref="AR118:AW118" si="59">SUM(AR114:AR117)</f>
        <v>18075773</v>
      </c>
      <c r="AS118" s="832">
        <f t="shared" si="59"/>
        <v>7584662</v>
      </c>
      <c r="AT118" s="832">
        <f t="shared" si="59"/>
        <v>13202700</v>
      </c>
      <c r="AU118" s="832">
        <f t="shared" si="59"/>
        <v>100000</v>
      </c>
      <c r="AV118" s="832">
        <f t="shared" si="59"/>
        <v>1700000</v>
      </c>
      <c r="AW118" s="832">
        <f t="shared" si="59"/>
        <v>50000</v>
      </c>
      <c r="AX118" s="832">
        <f t="shared" si="58"/>
        <v>7133442</v>
      </c>
      <c r="AY118" s="832">
        <f t="shared" si="58"/>
        <v>6267000</v>
      </c>
      <c r="AZ118" s="832">
        <f>SUM(AZ114:AZ117)</f>
        <v>332444</v>
      </c>
      <c r="BA118" s="832">
        <f>SUM(BA114:BA117)</f>
        <v>93444</v>
      </c>
      <c r="BB118" s="832">
        <f t="shared" si="58"/>
        <v>74000</v>
      </c>
      <c r="BC118" s="832">
        <f t="shared" si="58"/>
        <v>15000</v>
      </c>
      <c r="BD118" s="832">
        <f t="shared" si="58"/>
        <v>150000</v>
      </c>
      <c r="BE118" s="832">
        <f t="shared" si="58"/>
        <v>5687542</v>
      </c>
      <c r="BF118" s="832">
        <f t="shared" si="58"/>
        <v>1000000</v>
      </c>
      <c r="BG118" s="832">
        <f>SUM(BG114:BG117)</f>
        <v>2670300</v>
      </c>
      <c r="BH118" s="832">
        <f>SUM(BH114:BH117)</f>
        <v>32603255.949999999</v>
      </c>
      <c r="BI118" s="832">
        <f t="shared" si="58"/>
        <v>15595889</v>
      </c>
      <c r="BJ118" s="832">
        <f t="shared" si="58"/>
        <v>11231599</v>
      </c>
      <c r="BK118" s="832">
        <f t="shared" si="58"/>
        <v>2700000</v>
      </c>
      <c r="BL118" s="832">
        <f t="shared" si="58"/>
        <v>0</v>
      </c>
      <c r="BM118" s="832">
        <f t="shared" si="58"/>
        <v>450000</v>
      </c>
      <c r="BN118" s="832">
        <f t="shared" si="58"/>
        <v>1146200.95</v>
      </c>
      <c r="BO118" s="832">
        <f t="shared" si="58"/>
        <v>1479567</v>
      </c>
      <c r="BP118" s="832">
        <f t="shared" si="58"/>
        <v>170000</v>
      </c>
      <c r="BQ118" s="832">
        <f t="shared" si="58"/>
        <v>1309567</v>
      </c>
      <c r="BR118" s="832">
        <f>SUM(BR114:BR117)</f>
        <v>5627557438.1199999</v>
      </c>
      <c r="BS118" s="757" t="e">
        <f>BS114+BS115+BS116+BS117</f>
        <v>#REF!</v>
      </c>
      <c r="BT118" s="759" t="e">
        <f t="shared" si="52"/>
        <v>#REF!</v>
      </c>
      <c r="BU118" s="759">
        <f>AQ118-дод5.1!D4167</f>
        <v>0</v>
      </c>
      <c r="BV118" s="757" t="e">
        <f>BV114+BV115+BV116+BV117</f>
        <v>#REF!</v>
      </c>
      <c r="BW118" s="759" t="e">
        <f t="shared" si="53"/>
        <v>#REF!</v>
      </c>
      <c r="BX118" s="760">
        <f>BH118-дод5.1!E4167</f>
        <v>0</v>
      </c>
      <c r="BY118" s="774">
        <f>BU118+BX118</f>
        <v>0</v>
      </c>
      <c r="BZ118" s="463"/>
      <c r="CA118" s="760" t="b">
        <f t="shared" si="46"/>
        <v>1</v>
      </c>
      <c r="CC118" s="761">
        <f t="shared" si="54"/>
        <v>73316390.950000003</v>
      </c>
      <c r="CD118" s="501" t="e">
        <f t="shared" si="44"/>
        <v>#REF!</v>
      </c>
    </row>
    <row r="119" spans="1:82" ht="19.5" customHeight="1">
      <c r="A119" s="781"/>
      <c r="B119" s="782"/>
      <c r="C119" s="783"/>
      <c r="D119" s="783"/>
      <c r="F119" s="783"/>
      <c r="G119" s="783"/>
      <c r="H119" s="783"/>
      <c r="I119" s="783"/>
      <c r="J119" s="783"/>
      <c r="K119" s="783"/>
      <c r="L119" s="783"/>
      <c r="M119" s="784"/>
      <c r="N119" s="784"/>
      <c r="O119" s="784"/>
      <c r="P119" s="783"/>
      <c r="Q119" s="783"/>
      <c r="R119" s="783"/>
      <c r="S119" s="783"/>
      <c r="T119" s="783"/>
      <c r="U119" s="783"/>
      <c r="V119" s="783"/>
      <c r="W119" s="783"/>
      <c r="X119" s="783"/>
      <c r="Y119" s="783"/>
      <c r="Z119" s="783"/>
      <c r="AA119" s="783"/>
      <c r="AB119" s="783"/>
      <c r="AC119" s="783"/>
      <c r="AD119" s="783"/>
      <c r="AE119" s="783"/>
      <c r="AF119" s="783"/>
      <c r="AG119" s="783"/>
      <c r="AH119" s="783"/>
      <c r="AI119" s="785"/>
      <c r="AJ119" s="783"/>
      <c r="AK119" s="784"/>
      <c r="AL119" s="783"/>
      <c r="AM119" s="783"/>
      <c r="AN119" s="783"/>
      <c r="AO119" s="783"/>
      <c r="AP119" s="783"/>
      <c r="AQ119" s="783"/>
      <c r="AR119" s="786"/>
      <c r="AS119" s="786"/>
      <c r="AT119" s="783"/>
      <c r="AU119" s="783"/>
      <c r="AV119" s="783"/>
      <c r="AW119" s="783"/>
      <c r="AX119" s="783"/>
      <c r="AY119" s="783"/>
      <c r="AZ119" s="784"/>
      <c r="BA119" s="784"/>
      <c r="BB119" s="784"/>
      <c r="BC119" s="784"/>
      <c r="BD119" s="783"/>
      <c r="BE119" s="783"/>
      <c r="BF119" s="783"/>
      <c r="BG119" s="783"/>
      <c r="BH119" s="783"/>
      <c r="BI119" s="786"/>
      <c r="BJ119" s="786"/>
      <c r="BK119" s="786"/>
      <c r="BL119" s="786"/>
      <c r="BM119" s="786"/>
      <c r="BN119" s="783"/>
      <c r="BO119" s="783"/>
      <c r="BP119" s="783"/>
      <c r="BQ119" s="783"/>
      <c r="BR119" s="787"/>
      <c r="BS119" s="788"/>
      <c r="BT119" s="789"/>
      <c r="BU119" s="789"/>
      <c r="BV119" s="788"/>
      <c r="BW119" s="789"/>
      <c r="BX119" s="789"/>
      <c r="BY119" s="774"/>
      <c r="BZ119" s="463"/>
      <c r="CA119" s="789"/>
    </row>
    <row r="120" spans="1:82" ht="49.15" customHeight="1">
      <c r="A120" s="781"/>
      <c r="B120" s="782"/>
      <c r="C120" s="783"/>
      <c r="D120" s="783"/>
      <c r="F120" s="783"/>
      <c r="G120" s="783"/>
      <c r="H120" s="783"/>
      <c r="I120" s="783"/>
      <c r="J120" s="783"/>
      <c r="K120" s="783"/>
      <c r="L120" s="783"/>
      <c r="M120" s="784"/>
      <c r="N120" s="784"/>
      <c r="O120" s="784"/>
      <c r="P120" s="783"/>
      <c r="Q120" s="783"/>
      <c r="R120" s="783"/>
      <c r="S120" s="783"/>
      <c r="T120" s="783"/>
      <c r="U120" s="783"/>
      <c r="V120" s="783"/>
      <c r="W120" s="783"/>
      <c r="X120" s="783"/>
      <c r="Y120" s="783"/>
      <c r="Z120" s="783"/>
      <c r="AA120" s="783"/>
      <c r="AB120" s="783"/>
      <c r="AC120" s="783"/>
      <c r="AD120" s="783"/>
      <c r="AE120" s="783"/>
      <c r="AF120" s="783"/>
      <c r="AG120" s="783"/>
      <c r="AH120" s="783"/>
      <c r="AI120" s="785"/>
      <c r="AJ120" s="783"/>
      <c r="AK120" s="784"/>
      <c r="AL120" s="783"/>
      <c r="AM120" s="783"/>
      <c r="AN120" s="783"/>
      <c r="AO120" s="783"/>
      <c r="AP120" s="783"/>
      <c r="AQ120" s="783"/>
      <c r="AR120" s="786"/>
      <c r="AS120" s="786"/>
      <c r="AT120" s="783"/>
      <c r="AU120" s="783"/>
      <c r="AV120" s="783"/>
      <c r="AW120" s="783"/>
      <c r="AX120" s="783"/>
      <c r="AY120" s="783"/>
      <c r="AZ120" s="784"/>
      <c r="BA120" s="784"/>
      <c r="BB120" s="784"/>
      <c r="BC120" s="784"/>
      <c r="BD120" s="783"/>
      <c r="BE120" s="783"/>
      <c r="BF120" s="783"/>
      <c r="BG120" s="783"/>
      <c r="BH120" s="783"/>
      <c r="BI120" s="786"/>
      <c r="BJ120" s="786"/>
      <c r="BK120" s="786"/>
      <c r="BL120" s="786"/>
      <c r="BM120" s="786"/>
      <c r="BN120" s="783"/>
      <c r="BO120" s="783"/>
      <c r="BP120" s="783"/>
      <c r="BQ120" s="790" t="s">
        <v>271</v>
      </c>
      <c r="BR120" s="791" t="s">
        <v>3210</v>
      </c>
      <c r="BS120" s="788"/>
      <c r="BT120" s="789"/>
      <c r="BU120" s="789"/>
      <c r="BV120" s="788"/>
      <c r="BW120" s="789"/>
      <c r="BX120" s="789"/>
      <c r="BY120" s="774"/>
      <c r="BZ120" s="463"/>
      <c r="CA120" s="789"/>
    </row>
    <row r="121" spans="1:82" ht="50.45" hidden="1" customHeight="1">
      <c r="A121" s="781"/>
      <c r="B121" s="782"/>
      <c r="C121" s="783"/>
      <c r="D121" s="783"/>
      <c r="F121" s="783"/>
      <c r="G121" s="783"/>
      <c r="H121" s="783"/>
      <c r="I121" s="783"/>
      <c r="J121" s="783"/>
      <c r="K121" s="783"/>
      <c r="L121" s="783"/>
      <c r="M121" s="784"/>
      <c r="N121" s="784"/>
      <c r="O121" s="784"/>
      <c r="P121" s="783"/>
      <c r="Q121" s="783"/>
      <c r="R121" s="783"/>
      <c r="S121" s="783"/>
      <c r="T121" s="783"/>
      <c r="U121" s="783"/>
      <c r="V121" s="783"/>
      <c r="W121" s="783"/>
      <c r="X121" s="783"/>
      <c r="Y121" s="783"/>
      <c r="Z121" s="783"/>
      <c r="AA121" s="783"/>
      <c r="AB121" s="783"/>
      <c r="AC121" s="783"/>
      <c r="AD121" s="783"/>
      <c r="AE121" s="783"/>
      <c r="AF121" s="783"/>
      <c r="AG121" s="783"/>
      <c r="AH121" s="783"/>
      <c r="AI121" s="785"/>
      <c r="AJ121" s="783"/>
      <c r="AK121" s="784"/>
      <c r="AL121" s="783"/>
      <c r="AM121" s="783"/>
      <c r="AN121" s="783"/>
      <c r="AO121" s="783"/>
      <c r="AP121" s="783"/>
      <c r="AQ121" s="783"/>
      <c r="AR121" s="786"/>
      <c r="AS121" s="786"/>
      <c r="AT121" s="783"/>
      <c r="AU121" s="783"/>
      <c r="AV121" s="783"/>
      <c r="AW121" s="783"/>
      <c r="AX121" s="783"/>
      <c r="AY121" s="783"/>
      <c r="AZ121" s="784"/>
      <c r="BA121" s="784"/>
      <c r="BB121" s="784"/>
      <c r="BC121" s="784"/>
      <c r="BD121" s="783"/>
      <c r="BE121" s="783"/>
      <c r="BF121" s="783"/>
      <c r="BG121" s="783"/>
      <c r="BH121" s="783"/>
      <c r="BI121" s="786"/>
      <c r="BK121" s="678"/>
      <c r="BL121" s="678"/>
      <c r="BS121" s="788"/>
      <c r="BT121" s="789"/>
      <c r="BU121" s="789"/>
      <c r="BV121" s="788"/>
      <c r="BW121" s="789"/>
      <c r="BX121" s="789"/>
      <c r="BY121" s="774"/>
      <c r="BZ121" s="463"/>
      <c r="CA121" s="789"/>
    </row>
    <row r="122" spans="1:82" ht="19.5" hidden="1" customHeight="1">
      <c r="A122" s="781"/>
      <c r="B122" s="782"/>
      <c r="C122" s="783"/>
      <c r="D122" s="783"/>
      <c r="F122" s="783"/>
      <c r="G122" s="783"/>
      <c r="H122" s="783"/>
      <c r="I122" s="783"/>
      <c r="J122" s="783"/>
      <c r="K122" s="783"/>
      <c r="L122" s="783"/>
      <c r="M122" s="784"/>
      <c r="N122" s="784"/>
      <c r="O122" s="784"/>
      <c r="P122" s="783"/>
      <c r="Q122" s="783">
        <f>Q118-дод3!E78</f>
        <v>0</v>
      </c>
      <c r="R122" s="783"/>
      <c r="S122" s="783"/>
      <c r="T122" s="783"/>
      <c r="U122" s="783"/>
      <c r="V122" s="783"/>
      <c r="W122" s="783"/>
      <c r="X122" s="783"/>
      <c r="Y122" s="783"/>
      <c r="Z122" s="783"/>
      <c r="AA122" s="783"/>
      <c r="AB122" s="783"/>
      <c r="AC122" s="783"/>
      <c r="AD122" s="783"/>
      <c r="AE122" s="783"/>
      <c r="AF122" s="783"/>
      <c r="AG122" s="783"/>
      <c r="AH122" s="783"/>
      <c r="AI122" s="785"/>
      <c r="AJ122" s="783"/>
      <c r="AK122" s="784"/>
      <c r="AL122" s="783"/>
      <c r="AM122" s="783"/>
      <c r="AN122" s="783"/>
      <c r="AO122" s="783"/>
      <c r="AP122" s="783"/>
      <c r="AQ122" s="792"/>
      <c r="AR122" s="793">
        <f>дод3!F25</f>
        <v>18075773</v>
      </c>
      <c r="AS122" s="793">
        <f>дод3!F287</f>
        <v>9434662</v>
      </c>
      <c r="AT122" s="783"/>
      <c r="AU122" s="783"/>
      <c r="AV122" s="783"/>
      <c r="AW122" s="783"/>
      <c r="AX122" s="783"/>
      <c r="AY122" s="783"/>
      <c r="AZ122" s="784"/>
      <c r="BA122" s="784"/>
      <c r="BB122" s="784"/>
      <c r="BC122" s="784"/>
      <c r="BD122" s="783"/>
      <c r="BE122" s="783"/>
      <c r="BF122" s="783"/>
      <c r="BG122" s="783"/>
      <c r="BH122" s="792"/>
      <c r="BI122" s="794">
        <f>BI118+BL118+BM118+BN118</f>
        <v>17192089.949999999</v>
      </c>
      <c r="BJ122" s="794">
        <f>BJ118</f>
        <v>11231599</v>
      </c>
      <c r="BK122" s="786"/>
      <c r="BL122" s="786"/>
      <c r="BM122" s="786"/>
      <c r="BN122" s="783"/>
      <c r="BO122" s="783"/>
      <c r="BP122" s="783"/>
      <c r="BQ122" s="783"/>
      <c r="BR122" s="787"/>
      <c r="BS122" s="788"/>
      <c r="BT122" s="789"/>
      <c r="BU122" s="789"/>
      <c r="BV122" s="788"/>
      <c r="BW122" s="789"/>
      <c r="BX122" s="789"/>
      <c r="BY122" s="774"/>
      <c r="BZ122" s="463"/>
      <c r="CA122" s="789"/>
    </row>
    <row r="123" spans="1:82" ht="20.45" hidden="1" customHeight="1">
      <c r="A123" s="664"/>
      <c r="B123" s="664"/>
      <c r="C123" s="795"/>
      <c r="D123" s="795"/>
      <c r="F123" s="796"/>
      <c r="G123" s="796"/>
      <c r="H123" s="795"/>
      <c r="I123" s="795"/>
      <c r="J123" s="796"/>
      <c r="K123" s="796"/>
      <c r="L123" s="796"/>
      <c r="M123" s="797"/>
      <c r="N123" s="797"/>
      <c r="O123" s="797"/>
      <c r="P123" s="795"/>
      <c r="Q123" s="796"/>
      <c r="R123" s="796"/>
      <c r="S123" s="796"/>
      <c r="T123" s="796">
        <f>T118-дод3!E80</f>
        <v>0</v>
      </c>
      <c r="U123" s="796"/>
      <c r="V123" s="796"/>
      <c r="W123" s="795"/>
      <c r="X123" s="795"/>
      <c r="Y123" s="795"/>
      <c r="Z123" s="795"/>
      <c r="AA123" s="796"/>
      <c r="AB123" s="796"/>
      <c r="AC123" s="796"/>
      <c r="AD123" s="796"/>
      <c r="AE123" s="796"/>
      <c r="AF123" s="796"/>
      <c r="AG123" s="796"/>
      <c r="AH123" s="796"/>
      <c r="AI123" s="798"/>
      <c r="AJ123" s="796"/>
      <c r="AK123" s="799"/>
      <c r="AL123" s="796"/>
      <c r="AM123" s="796"/>
      <c r="AN123" s="800"/>
      <c r="AO123" s="796"/>
      <c r="AP123" s="797"/>
      <c r="AQ123" s="801"/>
      <c r="AR123" s="802">
        <f>AR118</f>
        <v>18075773</v>
      </c>
      <c r="AS123" s="803">
        <f>AS118+AU118+AV118+AW118</f>
        <v>9434662</v>
      </c>
      <c r="AT123" s="804"/>
      <c r="AU123" s="804"/>
      <c r="AV123" s="804"/>
      <c r="AW123" s="804"/>
      <c r="AX123" s="805"/>
      <c r="AY123" s="806"/>
      <c r="AZ123" s="797"/>
      <c r="BA123" s="797"/>
      <c r="BB123" s="797"/>
      <c r="BC123" s="797"/>
      <c r="BD123" s="797"/>
      <c r="BE123" s="797"/>
      <c r="BF123" s="797"/>
      <c r="BG123" s="797"/>
      <c r="BH123" s="801"/>
      <c r="BI123" s="807">
        <f>дод3!J25</f>
        <v>17192089.949999999</v>
      </c>
      <c r="BJ123" s="808">
        <f>дод3!J287</f>
        <v>11231599</v>
      </c>
      <c r="BK123" s="809"/>
      <c r="BL123" s="809"/>
      <c r="BM123" s="805"/>
      <c r="BN123" s="810"/>
      <c r="BO123" s="805"/>
      <c r="BP123" s="805"/>
      <c r="BQ123" s="805"/>
      <c r="BR123" s="811">
        <f>BR125-BR118</f>
        <v>0</v>
      </c>
      <c r="BS123" s="664"/>
      <c r="BY123" s="501">
        <f>SUM(BY16:BY117)</f>
        <v>0</v>
      </c>
    </row>
    <row r="124" spans="1:82" ht="51.75" hidden="1">
      <c r="A124" s="664"/>
      <c r="B124" s="812"/>
      <c r="C124" s="795"/>
      <c r="D124" s="795"/>
      <c r="F124" s="796"/>
      <c r="G124" s="796"/>
      <c r="H124" s="795"/>
      <c r="I124" s="795"/>
      <c r="J124" s="796"/>
      <c r="K124" s="796"/>
      <c r="L124" s="664"/>
      <c r="M124" s="813"/>
      <c r="N124" s="813"/>
      <c r="O124" s="813"/>
      <c r="P124" s="795"/>
      <c r="Q124" s="796"/>
      <c r="R124" s="796"/>
      <c r="S124" s="796"/>
      <c r="T124" s="796"/>
      <c r="U124" s="796"/>
      <c r="V124" s="796"/>
      <c r="W124" s="795"/>
      <c r="X124" s="795"/>
      <c r="Y124" s="795"/>
      <c r="Z124" s="795"/>
      <c r="AA124" s="796"/>
      <c r="AB124" s="796"/>
      <c r="AC124" s="796"/>
      <c r="AD124" s="796"/>
      <c r="AE124" s="796"/>
      <c r="AF124" s="796"/>
      <c r="AG124" s="796"/>
      <c r="AH124" s="796"/>
      <c r="AI124" s="798"/>
      <c r="AJ124" s="796"/>
      <c r="AK124" s="799"/>
      <c r="AL124" s="796"/>
      <c r="AM124" s="796"/>
      <c r="AN124" s="812"/>
      <c r="AO124" s="796"/>
      <c r="AP124" s="813"/>
      <c r="AQ124" s="814" t="s">
        <v>2525</v>
      </c>
      <c r="AR124" s="814">
        <f>AR122-AR123</f>
        <v>0</v>
      </c>
      <c r="AS124" s="814">
        <f>AS122-AS123</f>
        <v>0</v>
      </c>
      <c r="AT124" s="664"/>
      <c r="AU124" s="664"/>
      <c r="AV124" s="664"/>
      <c r="AW124" s="664"/>
      <c r="AX124" s="664"/>
      <c r="AY124" s="664"/>
      <c r="AZ124" s="813"/>
      <c r="BA124" s="813"/>
      <c r="BB124" s="813"/>
      <c r="BC124" s="813"/>
      <c r="BD124" s="813"/>
      <c r="BE124" s="813"/>
      <c r="BF124" s="813"/>
      <c r="BG124" s="813"/>
      <c r="BH124" s="815" t="s">
        <v>1</v>
      </c>
      <c r="BI124" s="816">
        <f>BI122-BI123</f>
        <v>0</v>
      </c>
      <c r="BJ124" s="816">
        <f>BJ122-BJ123</f>
        <v>0</v>
      </c>
      <c r="BK124" s="809"/>
      <c r="BL124" s="817"/>
      <c r="BM124" s="664"/>
      <c r="BT124" s="818" t="e">
        <f>SUM(BT46:BT77)+BT45+BT21</f>
        <v>#REF!</v>
      </c>
      <c r="BU124" s="818"/>
      <c r="BW124" s="818" t="e">
        <f>SUM(BW46:BW77)+BW45+BW21</f>
        <v>#REF!</v>
      </c>
      <c r="BX124" s="818"/>
      <c r="BY124" s="501">
        <f>BY118-BY123</f>
        <v>0</v>
      </c>
      <c r="CA124" s="818"/>
    </row>
    <row r="125" spans="1:82" ht="36" hidden="1" customHeight="1">
      <c r="B125" s="812"/>
      <c r="C125" s="796" t="b">
        <f>C118=C114+C115</f>
        <v>1</v>
      </c>
      <c r="D125" s="796"/>
      <c r="F125" s="796" t="b">
        <f>F118=F114</f>
        <v>1</v>
      </c>
      <c r="G125" s="796" t="b">
        <f>G118=G114</f>
        <v>1</v>
      </c>
      <c r="H125" s="796" t="b">
        <f>H118=H114</f>
        <v>1</v>
      </c>
      <c r="I125" s="796"/>
      <c r="J125" s="796">
        <f>J118-J114</f>
        <v>0</v>
      </c>
      <c r="K125" s="796"/>
      <c r="L125" s="796" t="b">
        <f>L118=L114</f>
        <v>1</v>
      </c>
      <c r="M125" s="796" t="b">
        <f>M118=M114+M117</f>
        <v>1</v>
      </c>
      <c r="N125" s="796"/>
      <c r="O125" s="796"/>
      <c r="P125" s="796" t="b">
        <f>P118=дод3!E79</f>
        <v>1</v>
      </c>
      <c r="Q125" s="796" t="b">
        <f>дод3!F78=дод5!Q118</f>
        <v>1</v>
      </c>
      <c r="R125" s="796"/>
      <c r="S125" s="796"/>
      <c r="T125" s="796" t="b">
        <f>T118=дод3!E80</f>
        <v>1</v>
      </c>
      <c r="U125" s="796" t="b">
        <f>U118=U114</f>
        <v>1</v>
      </c>
      <c r="V125" s="796" t="b">
        <f>V118=V114</f>
        <v>1</v>
      </c>
      <c r="W125" s="796"/>
      <c r="X125" s="796"/>
      <c r="Y125" s="796"/>
      <c r="Z125" s="796"/>
      <c r="AA125" s="796">
        <f>AA118-AA114</f>
        <v>0</v>
      </c>
      <c r="AB125" s="796"/>
      <c r="AC125" s="796"/>
      <c r="AD125" s="796"/>
      <c r="AE125" s="796"/>
      <c r="AF125" s="796"/>
      <c r="AG125" s="796"/>
      <c r="AH125" s="796"/>
      <c r="AI125" s="798"/>
      <c r="AJ125" s="796" t="b">
        <f>AJ118=AJ114</f>
        <v>1</v>
      </c>
      <c r="AK125" s="799"/>
      <c r="AL125" s="796">
        <f>AL118-AL114</f>
        <v>0</v>
      </c>
      <c r="AM125" s="796">
        <f>AM118-AM114</f>
        <v>0</v>
      </c>
      <c r="AN125" s="796" t="b">
        <f>AN118=AN114+AN115</f>
        <v>1</v>
      </c>
      <c r="AO125" s="796" t="b">
        <f>AO118=AO114</f>
        <v>1</v>
      </c>
      <c r="AP125" s="796"/>
      <c r="AQ125" s="795">
        <f>AQ118-AQ114</f>
        <v>0</v>
      </c>
      <c r="AR125" s="795" t="b">
        <f>AR118=AR114</f>
        <v>1</v>
      </c>
      <c r="AS125" s="795"/>
      <c r="AT125" s="796">
        <f>AT118-дод3!E116</f>
        <v>0</v>
      </c>
      <c r="AU125" s="796"/>
      <c r="AV125" s="796"/>
      <c r="AW125" s="796" t="b">
        <f>AW118=AW114+AW117</f>
        <v>1</v>
      </c>
      <c r="AX125" s="796">
        <f>AX118-AX114+AX117</f>
        <v>7133442</v>
      </c>
      <c r="AY125" s="796" t="b">
        <f>AY118=AY114+AY117</f>
        <v>1</v>
      </c>
      <c r="AZ125" s="796" t="b">
        <f>AZ118=AZ114+AZ117</f>
        <v>1</v>
      </c>
      <c r="BA125" s="796"/>
      <c r="BB125" s="796"/>
      <c r="BC125" s="796"/>
      <c r="BD125" s="796"/>
      <c r="BE125" s="796">
        <f>BE118-дод3!Q238</f>
        <v>0</v>
      </c>
      <c r="BF125" s="796"/>
      <c r="BG125" s="796" t="b">
        <f>BG118=дод3!J265</f>
        <v>1</v>
      </c>
      <c r="BH125" s="795">
        <f>BH118-BH114</f>
        <v>0</v>
      </c>
      <c r="BI125" s="795" t="b">
        <f>BI118=BI114</f>
        <v>1</v>
      </c>
      <c r="BJ125" s="796">
        <f>BJ118-BJ114</f>
        <v>0</v>
      </c>
      <c r="BK125" s="796"/>
      <c r="BL125" s="796">
        <f>BL118-BL114</f>
        <v>0</v>
      </c>
      <c r="BM125" s="796">
        <f>BM118-BM114</f>
        <v>0</v>
      </c>
      <c r="BN125" s="796">
        <f>BN118-BN114</f>
        <v>0</v>
      </c>
      <c r="BO125" s="796" t="b">
        <f>BO118=BO114</f>
        <v>1</v>
      </c>
      <c r="BP125" s="796" t="b">
        <f>BP118=BP114</f>
        <v>1</v>
      </c>
      <c r="BQ125" s="796" t="b">
        <f>BQ118=BQ114</f>
        <v>1</v>
      </c>
      <c r="BR125" s="819">
        <f>дод3!Q25+дод3!Q26+дод3!Q31+дод3!Q48+дод3!Q49+дод3!Q50+дод3!Q52+дод3!Q78+дод3!Q79+дод3!Q80+дод3!Q81+дод3!Q115+дод3!Q116+дод3!Q125+дод3!Q124+дод3!Q265+дод3!Q274+дод3!Q275+дод3!Q276+дод3!Q277+дод3!Q278+дод3!Q280+дод3!Q281+дод3!Q282+дод3!Q283+дод3!Q284+дод3!Q285+дод3!Q286+дод3!Q288+дод3!Q287+дод3!J238+дод3!Q113+дод3!Q51+дод3!Q114</f>
        <v>5627557438.1199999</v>
      </c>
      <c r="BT125" s="820"/>
      <c r="BU125" s="820"/>
      <c r="BV125" s="501"/>
    </row>
    <row r="126" spans="1:82" ht="23.25" hidden="1" customHeight="1">
      <c r="B126" s="812"/>
      <c r="C126" s="795" t="b">
        <f>C118=дод3!E275</f>
        <v>1</v>
      </c>
      <c r="D126" s="795"/>
      <c r="F126" s="796" t="b">
        <f>F118=дод3!E276</f>
        <v>1</v>
      </c>
      <c r="G126" s="796" t="b">
        <f>G118=дод3!E277</f>
        <v>1</v>
      </c>
      <c r="H126" s="795">
        <f>H118-дод3!E278</f>
        <v>0</v>
      </c>
      <c r="I126" s="795"/>
      <c r="J126" s="796" t="b">
        <f>J118=дод3!E113</f>
        <v>1</v>
      </c>
      <c r="K126" s="796" t="b">
        <f>K118=дод3!Q115</f>
        <v>1</v>
      </c>
      <c r="L126" s="796" t="b">
        <f>L118=дод3!E281</f>
        <v>1</v>
      </c>
      <c r="M126" s="501"/>
      <c r="N126" s="501"/>
      <c r="O126" s="501"/>
      <c r="P126" s="795"/>
      <c r="Q126" s="796"/>
      <c r="R126" s="796"/>
      <c r="S126" s="796"/>
      <c r="T126" s="796"/>
      <c r="U126" s="796"/>
      <c r="V126" s="796"/>
      <c r="W126" s="795"/>
      <c r="X126" s="795"/>
      <c r="Y126" s="795"/>
      <c r="Z126" s="795"/>
      <c r="AA126" s="796">
        <f>AA118-дод3!E50</f>
        <v>0</v>
      </c>
      <c r="AB126" s="796"/>
      <c r="AC126" s="796"/>
      <c r="AD126" s="796"/>
      <c r="AE126" s="796"/>
      <c r="AF126" s="796"/>
      <c r="AG126" s="796"/>
      <c r="AH126" s="796"/>
      <c r="AI126" s="798"/>
      <c r="AJ126" s="796" t="b">
        <f>AJ118=дод3!E283</f>
        <v>1</v>
      </c>
      <c r="AK126" s="799"/>
      <c r="AL126" s="821">
        <f>AL118-дод3!Q285</f>
        <v>0</v>
      </c>
      <c r="AM126" s="796"/>
      <c r="AN126" s="796"/>
      <c r="AO126" s="796" t="e">
        <f>AO118=#REF!</f>
        <v>#REF!</v>
      </c>
      <c r="AP126" s="501" t="b">
        <f>дод3!E124=AP118</f>
        <v>1</v>
      </c>
      <c r="AQ126" s="529" t="b">
        <f>AQ118=(дод3!E25+дод3!E52+дод3!E116+дод3!E125+дод3!E287)</f>
        <v>1</v>
      </c>
      <c r="AX126" s="501" t="e">
        <f>AX118-#REF!</f>
        <v>#REF!</v>
      </c>
      <c r="AY126" s="762" t="b">
        <f>AY118=дод3!J284</f>
        <v>1</v>
      </c>
      <c r="AZ126" s="501" t="b">
        <f>AZ118=дод3!J49</f>
        <v>1</v>
      </c>
      <c r="BA126" s="501"/>
      <c r="BB126" s="501"/>
      <c r="BC126" s="501"/>
      <c r="BD126" s="501"/>
      <c r="BE126" s="501"/>
      <c r="BF126" s="501" t="b">
        <f>BF118=дод3!J286</f>
        <v>1</v>
      </c>
      <c r="BG126" s="501"/>
      <c r="BH126" s="529" t="b">
        <f>BH118=(дод3!J25+дод3!J52+дод3!J116+дод3!J125+дод3!J287)</f>
        <v>1</v>
      </c>
      <c r="BR126" s="822"/>
    </row>
    <row r="127" spans="1:82" ht="36" hidden="1" customHeight="1">
      <c r="B127" s="812"/>
      <c r="C127" s="812"/>
      <c r="D127" s="812"/>
      <c r="F127" s="796"/>
      <c r="G127" s="796"/>
      <c r="H127" s="795"/>
      <c r="I127" s="795"/>
      <c r="J127" s="796"/>
      <c r="K127" s="796"/>
      <c r="L127" s="796"/>
      <c r="P127" s="795"/>
      <c r="Q127" s="796"/>
      <c r="R127" s="796"/>
      <c r="S127" s="796"/>
      <c r="T127" s="796"/>
      <c r="U127" s="796"/>
      <c r="V127" s="796"/>
      <c r="W127" s="795"/>
      <c r="X127" s="795"/>
      <c r="Y127" s="795"/>
      <c r="Z127" s="795"/>
      <c r="AA127" s="796"/>
      <c r="AB127" s="796"/>
      <c r="AC127" s="796"/>
      <c r="AD127" s="796"/>
      <c r="AE127" s="796"/>
      <c r="AF127" s="796"/>
      <c r="AG127" s="796"/>
      <c r="AH127" s="796"/>
      <c r="AI127" s="798"/>
      <c r="AJ127" s="796"/>
      <c r="AK127" s="796"/>
      <c r="AL127" s="796"/>
      <c r="AM127" s="796"/>
      <c r="AN127" s="812"/>
      <c r="AO127" s="796"/>
      <c r="AS127" s="823">
        <v>2733424</v>
      </c>
      <c r="BJ127" s="823">
        <v>12133576</v>
      </c>
      <c r="BK127" s="824"/>
      <c r="BL127" s="824"/>
      <c r="BR127" s="762">
        <f>BH118+AQ118</f>
        <v>73316390.950000003</v>
      </c>
    </row>
    <row r="128" spans="1:82" ht="36" hidden="1" customHeight="1">
      <c r="B128" s="812"/>
      <c r="C128" s="812"/>
      <c r="D128" s="812"/>
      <c r="F128" s="796"/>
      <c r="G128" s="796"/>
      <c r="H128" s="795"/>
      <c r="I128" s="795"/>
      <c r="J128" s="796"/>
      <c r="K128" s="796"/>
      <c r="L128" s="796"/>
      <c r="P128" s="795"/>
      <c r="Q128" s="796"/>
      <c r="R128" s="796"/>
      <c r="S128" s="796"/>
      <c r="T128" s="796"/>
      <c r="U128" s="796"/>
      <c r="V128" s="796"/>
      <c r="W128" s="795"/>
      <c r="X128" s="795"/>
      <c r="Y128" s="795"/>
      <c r="Z128" s="795"/>
      <c r="AA128" s="796"/>
      <c r="AB128" s="796"/>
      <c r="AC128" s="796"/>
      <c r="AD128" s="796"/>
      <c r="AE128" s="796"/>
      <c r="AF128" s="796"/>
      <c r="AG128" s="796"/>
      <c r="AH128" s="796"/>
      <c r="AI128" s="798"/>
      <c r="AJ128" s="796"/>
      <c r="AK128" s="796"/>
      <c r="AL128" s="796"/>
      <c r="AM128" s="796"/>
      <c r="AN128" s="812"/>
      <c r="AO128" s="796"/>
      <c r="AQ128" s="440">
        <v>993500</v>
      </c>
      <c r="AR128" s="825">
        <v>390240</v>
      </c>
      <c r="AS128" s="826">
        <v>2148999</v>
      </c>
      <c r="BI128" s="825">
        <v>603260</v>
      </c>
      <c r="BJ128" s="826"/>
      <c r="BK128" s="826"/>
      <c r="BL128" s="826"/>
      <c r="BR128" s="762"/>
    </row>
    <row r="129" spans="2:70" ht="36" hidden="1" customHeight="1">
      <c r="B129" s="812"/>
      <c r="C129" s="812"/>
      <c r="D129" s="812"/>
      <c r="F129" s="796"/>
      <c r="G129" s="796"/>
      <c r="H129" s="795"/>
      <c r="I129" s="795"/>
      <c r="J129" s="796"/>
      <c r="K129" s="796"/>
      <c r="L129" s="796"/>
      <c r="P129" s="795"/>
      <c r="Q129" s="796"/>
      <c r="R129" s="796"/>
      <c r="S129" s="796"/>
      <c r="T129" s="796"/>
      <c r="U129" s="796"/>
      <c r="V129" s="796"/>
      <c r="W129" s="795"/>
      <c r="X129" s="795"/>
      <c r="Y129" s="795"/>
      <c r="Z129" s="795"/>
      <c r="AA129" s="796"/>
      <c r="AB129" s="796"/>
      <c r="AC129" s="796"/>
      <c r="AD129" s="796"/>
      <c r="AE129" s="796"/>
      <c r="AF129" s="796"/>
      <c r="AG129" s="796"/>
      <c r="AH129" s="796"/>
      <c r="AI129" s="798"/>
      <c r="AJ129" s="796"/>
      <c r="AK129" s="796"/>
      <c r="AL129" s="796"/>
      <c r="AM129" s="796"/>
      <c r="AN129" s="812"/>
      <c r="AO129" s="796"/>
      <c r="AR129" s="542">
        <f>AR128+AQ118-дод5.1!D4167</f>
        <v>390240</v>
      </c>
      <c r="AS129" s="542"/>
      <c r="BI129" s="542">
        <f>BH118+BI128-дод5.1!E4167</f>
        <v>603260</v>
      </c>
      <c r="BJ129" s="542"/>
      <c r="BK129" s="542"/>
      <c r="BL129" s="542"/>
      <c r="BR129" s="762"/>
    </row>
    <row r="130" spans="2:70" ht="36" hidden="1" customHeight="1">
      <c r="B130" s="812"/>
      <c r="C130" s="812"/>
      <c r="D130" s="812"/>
      <c r="E130" s="812"/>
      <c r="F130" s="796"/>
      <c r="G130" s="796"/>
      <c r="H130" s="795"/>
      <c r="I130" s="795"/>
      <c r="J130" s="796"/>
      <c r="K130" s="796"/>
      <c r="L130" s="796"/>
      <c r="P130" s="795"/>
      <c r="Q130" s="796"/>
      <c r="R130" s="796"/>
      <c r="S130" s="796"/>
      <c r="T130" s="796"/>
      <c r="U130" s="796"/>
      <c r="V130" s="796"/>
      <c r="W130" s="795"/>
      <c r="X130" s="795"/>
      <c r="Y130" s="795"/>
      <c r="Z130" s="795"/>
      <c r="AA130" s="796"/>
      <c r="AB130" s="796"/>
      <c r="AC130" s="796"/>
      <c r="AD130" s="796"/>
      <c r="AE130" s="796"/>
      <c r="AF130" s="796"/>
      <c r="AG130" s="796"/>
      <c r="AH130" s="796"/>
      <c r="AI130" s="798"/>
      <c r="AJ130" s="796"/>
      <c r="AK130" s="796"/>
      <c r="AL130" s="796"/>
      <c r="AM130" s="796"/>
      <c r="AN130" s="796"/>
      <c r="AO130" s="796"/>
      <c r="AR130" s="542"/>
      <c r="AS130" s="542"/>
      <c r="BR130" s="822"/>
    </row>
    <row r="131" spans="2:70" ht="36" hidden="1" customHeight="1">
      <c r="B131" s="812"/>
      <c r="C131" s="812"/>
      <c r="D131" s="812"/>
      <c r="E131" s="812"/>
      <c r="F131" s="796"/>
      <c r="G131" s="796"/>
      <c r="H131" s="795"/>
      <c r="I131" s="795"/>
      <c r="J131" s="796"/>
      <c r="K131" s="796"/>
      <c r="L131" s="796"/>
      <c r="P131" s="795"/>
      <c r="Q131" s="796"/>
      <c r="R131" s="796"/>
      <c r="S131" s="796"/>
      <c r="T131" s="796"/>
      <c r="U131" s="796"/>
      <c r="V131" s="796"/>
      <c r="W131" s="795"/>
      <c r="X131" s="795"/>
      <c r="Y131" s="795"/>
      <c r="Z131" s="795"/>
      <c r="AA131" s="796"/>
      <c r="AB131" s="796"/>
      <c r="AC131" s="796"/>
      <c r="AD131" s="796"/>
      <c r="AE131" s="796"/>
      <c r="AF131" s="796"/>
      <c r="AG131" s="796"/>
      <c r="AH131" s="796"/>
      <c r="AI131" s="798"/>
      <c r="AJ131" s="796"/>
      <c r="AK131" s="796"/>
      <c r="AL131" s="796"/>
      <c r="AM131" s="796"/>
      <c r="AN131" s="796"/>
      <c r="AO131" s="796"/>
    </row>
    <row r="132" spans="2:70" ht="36" hidden="1" customHeight="1">
      <c r="B132" s="812"/>
      <c r="C132" s="812"/>
      <c r="D132" s="812"/>
      <c r="E132" s="812"/>
      <c r="F132" s="796"/>
      <c r="G132" s="796"/>
      <c r="H132" s="795"/>
      <c r="I132" s="795"/>
      <c r="J132" s="796"/>
      <c r="K132" s="796"/>
      <c r="L132" s="796"/>
      <c r="P132" s="795"/>
      <c r="Q132" s="796"/>
      <c r="R132" s="796"/>
      <c r="S132" s="796"/>
      <c r="T132" s="796"/>
      <c r="U132" s="796"/>
      <c r="V132" s="796"/>
      <c r="W132" s="795"/>
      <c r="X132" s="795"/>
      <c r="Y132" s="795"/>
      <c r="Z132" s="795"/>
      <c r="AA132" s="796"/>
      <c r="AB132" s="796"/>
      <c r="AC132" s="796"/>
      <c r="AD132" s="796"/>
      <c r="AE132" s="796"/>
      <c r="AF132" s="796"/>
      <c r="AG132" s="796"/>
      <c r="AH132" s="796"/>
      <c r="AI132" s="798"/>
      <c r="AJ132" s="796"/>
      <c r="AK132" s="796"/>
      <c r="AL132" s="796"/>
      <c r="AM132" s="796"/>
      <c r="AN132" s="796"/>
      <c r="AO132" s="796"/>
    </row>
    <row r="133" spans="2:70" ht="36" hidden="1" customHeight="1">
      <c r="B133" s="812"/>
      <c r="C133" s="812"/>
      <c r="D133" s="812"/>
      <c r="E133" s="812"/>
      <c r="F133" s="796"/>
      <c r="G133" s="796"/>
      <c r="H133" s="795"/>
      <c r="I133" s="795"/>
      <c r="J133" s="796"/>
      <c r="K133" s="796"/>
      <c r="L133" s="796"/>
      <c r="P133" s="795"/>
      <c r="Q133" s="796"/>
      <c r="R133" s="796"/>
      <c r="S133" s="796"/>
      <c r="T133" s="796"/>
      <c r="U133" s="796"/>
      <c r="V133" s="796"/>
      <c r="W133" s="795"/>
      <c r="X133" s="795"/>
      <c r="Y133" s="795"/>
      <c r="Z133" s="795"/>
      <c r="AA133" s="796"/>
      <c r="AB133" s="796"/>
      <c r="AC133" s="796"/>
      <c r="AD133" s="796"/>
      <c r="AE133" s="796"/>
      <c r="AF133" s="796"/>
      <c r="AG133" s="796"/>
      <c r="AH133" s="796"/>
      <c r="AI133" s="798"/>
      <c r="AJ133" s="796"/>
      <c r="AK133" s="796"/>
      <c r="AL133" s="796"/>
      <c r="AM133" s="796"/>
      <c r="AN133" s="796"/>
      <c r="AO133" s="796"/>
    </row>
  </sheetData>
  <mergeCells count="78">
    <mergeCell ref="AB12:AC12"/>
    <mergeCell ref="BA13:BA14"/>
    <mergeCell ref="AF13:AF14"/>
    <mergeCell ref="AE12:AH12"/>
    <mergeCell ref="AG13:AG14"/>
    <mergeCell ref="Q12:Q14"/>
    <mergeCell ref="AB13:AB14"/>
    <mergeCell ref="U12:U14"/>
    <mergeCell ref="AA12:AA14"/>
    <mergeCell ref="AC13:AC14"/>
    <mergeCell ref="BU12:BU14"/>
    <mergeCell ref="BM13:BM14"/>
    <mergeCell ref="BK13:BK14"/>
    <mergeCell ref="BI13:BI14"/>
    <mergeCell ref="AX12:AX14"/>
    <mergeCell ref="AZ12:AZ14"/>
    <mergeCell ref="AY12:AY14"/>
    <mergeCell ref="BC13:BC14"/>
    <mergeCell ref="AJ12:AJ14"/>
    <mergeCell ref="AL12:AL14"/>
    <mergeCell ref="AR13:AR14"/>
    <mergeCell ref="AN12:AN14"/>
    <mergeCell ref="AE13:AE14"/>
    <mergeCell ref="BG12:BG14"/>
    <mergeCell ref="AK12:AK14"/>
    <mergeCell ref="AO12:AO14"/>
    <mergeCell ref="AQ12:AQ14"/>
    <mergeCell ref="AP12:AP14"/>
    <mergeCell ref="Y13:Y14"/>
    <mergeCell ref="X12:Z12"/>
    <mergeCell ref="BX12:BX14"/>
    <mergeCell ref="BH12:BH14"/>
    <mergeCell ref="BL13:BL14"/>
    <mergeCell ref="BJ13:BJ14"/>
    <mergeCell ref="BO13:BO14"/>
    <mergeCell ref="AS13:AS14"/>
    <mergeCell ref="AT13:AT14"/>
    <mergeCell ref="BI12:BQ12"/>
    <mergeCell ref="L12:L14"/>
    <mergeCell ref="S13:S14"/>
    <mergeCell ref="X13:X14"/>
    <mergeCell ref="AM13:AM14"/>
    <mergeCell ref="O13:O14"/>
    <mergeCell ref="N12:O12"/>
    <mergeCell ref="N13:N14"/>
    <mergeCell ref="AD12:AD14"/>
    <mergeCell ref="R13:R14"/>
    <mergeCell ref="AI13:AI14"/>
    <mergeCell ref="AH13:AH14"/>
    <mergeCell ref="D12:D14"/>
    <mergeCell ref="E12:E14"/>
    <mergeCell ref="V12:V14"/>
    <mergeCell ref="T12:T14"/>
    <mergeCell ref="M12:M14"/>
    <mergeCell ref="F12:F14"/>
    <mergeCell ref="H12:H14"/>
    <mergeCell ref="W12:W14"/>
    <mergeCell ref="Z13:Z14"/>
    <mergeCell ref="A7:A14"/>
    <mergeCell ref="B7:B14"/>
    <mergeCell ref="C11:C14"/>
    <mergeCell ref="G12:G14"/>
    <mergeCell ref="P12:P14"/>
    <mergeCell ref="K12:K14"/>
    <mergeCell ref="C7:E7"/>
    <mergeCell ref="D11:E11"/>
    <mergeCell ref="I12:I14"/>
    <mergeCell ref="J12:J14"/>
    <mergeCell ref="BR7:BR11"/>
    <mergeCell ref="AW13:AW14"/>
    <mergeCell ref="BB13:BB14"/>
    <mergeCell ref="BN13:BN14"/>
    <mergeCell ref="AU13:AU14"/>
    <mergeCell ref="BF12:BF14"/>
    <mergeCell ref="AV13:AV14"/>
    <mergeCell ref="BA12:BD12"/>
    <mergeCell ref="BE12:BE14"/>
    <mergeCell ref="BD13:BD14"/>
  </mergeCells>
  <phoneticPr fontId="0" type="noConversion"/>
  <printOptions horizontalCentered="1"/>
  <pageMargins left="0.39370078740157483" right="0" top="0.59055118110236227" bottom="0.19685039370078741" header="0" footer="0"/>
  <pageSetup paperSize="9" scale="3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 filterMode="1"/>
  <dimension ref="A1:M4191"/>
  <sheetViews>
    <sheetView view="pageBreakPreview" zoomScale="73" zoomScaleNormal="65" zoomScaleSheetLayoutView="73" workbookViewId="0">
      <pane xSplit="2" ySplit="7" topLeftCell="C4167" activePane="bottomRight" state="frozen"/>
      <selection pane="topRight" activeCell="C1" sqref="C1"/>
      <selection pane="bottomLeft" activeCell="A8" sqref="A8"/>
      <selection pane="bottomRight" activeCell="H1" sqref="H1:L65536"/>
    </sheetView>
  </sheetViews>
  <sheetFormatPr defaultRowHeight="18.75"/>
  <cols>
    <col min="1" max="1" width="26.85546875" style="440" customWidth="1"/>
    <col min="2" max="2" width="44.42578125" style="836" customWidth="1"/>
    <col min="3" max="3" width="20.7109375" style="440" customWidth="1"/>
    <col min="4" max="4" width="22.5703125" style="440" customWidth="1"/>
    <col min="5" max="5" width="21.5703125" style="440" customWidth="1"/>
    <col min="6" max="6" width="16.85546875" style="302" hidden="1" customWidth="1"/>
    <col min="7" max="7" width="13.7109375" style="302" hidden="1" customWidth="1"/>
    <col min="8" max="8" width="16.42578125" style="440" hidden="1" customWidth="1"/>
    <col min="9" max="9" width="17.140625" style="440" hidden="1" customWidth="1"/>
    <col min="10" max="10" width="13.85546875" style="440" hidden="1" customWidth="1"/>
    <col min="11" max="11" width="13.28515625" style="440" hidden="1" customWidth="1"/>
    <col min="12" max="12" width="39.42578125" style="440" hidden="1" customWidth="1"/>
    <col min="13" max="15" width="39.42578125" style="440" customWidth="1"/>
    <col min="16" max="16384" width="9.140625" style="440"/>
  </cols>
  <sheetData>
    <row r="1" spans="1:9" ht="20.25" customHeight="1">
      <c r="A1" s="835"/>
      <c r="B1" s="835"/>
      <c r="C1" s="835"/>
      <c r="D1" s="836" t="s">
        <v>121</v>
      </c>
      <c r="F1" s="879"/>
      <c r="G1" s="502"/>
      <c r="I1" s="440">
        <v>1</v>
      </c>
    </row>
    <row r="2" spans="1:9" ht="18" customHeight="1">
      <c r="A2" s="837"/>
      <c r="B2" s="837"/>
      <c r="C2" s="837"/>
      <c r="D2" s="836" t="s">
        <v>476</v>
      </c>
      <c r="F2" s="879"/>
      <c r="G2" s="502"/>
      <c r="I2" s="440">
        <v>1</v>
      </c>
    </row>
    <row r="3" spans="1:9" ht="18" customHeight="1">
      <c r="A3" s="837"/>
      <c r="B3" s="837"/>
      <c r="C3" s="837"/>
      <c r="D3" s="836" t="s">
        <v>3247</v>
      </c>
      <c r="F3" s="879"/>
      <c r="G3" s="502"/>
      <c r="I3" s="440">
        <v>1</v>
      </c>
    </row>
    <row r="4" spans="1:9" ht="37.5" customHeight="1">
      <c r="A4" s="1154" t="s">
        <v>984</v>
      </c>
      <c r="B4" s="1154"/>
      <c r="C4" s="1154"/>
      <c r="D4" s="1154"/>
      <c r="E4" s="1154"/>
      <c r="F4" s="1155"/>
      <c r="G4" s="881"/>
      <c r="I4" s="440">
        <v>1</v>
      </c>
    </row>
    <row r="5" spans="1:9" ht="16.5" customHeight="1">
      <c r="A5" s="838"/>
      <c r="B5" s="838"/>
      <c r="C5" s="838"/>
      <c r="D5" s="838"/>
      <c r="E5" s="445" t="s">
        <v>383</v>
      </c>
      <c r="F5" s="882"/>
      <c r="G5" s="883"/>
      <c r="I5" s="440">
        <v>1</v>
      </c>
    </row>
    <row r="6" spans="1:9" ht="54.75" customHeight="1">
      <c r="A6" s="468" t="s">
        <v>182</v>
      </c>
      <c r="B6" s="468" t="s">
        <v>105</v>
      </c>
      <c r="C6" s="468" t="s">
        <v>302</v>
      </c>
      <c r="D6" s="449" t="s">
        <v>180</v>
      </c>
      <c r="E6" s="449" t="s">
        <v>181</v>
      </c>
      <c r="F6" s="882"/>
      <c r="G6" s="883"/>
      <c r="I6" s="440">
        <v>1</v>
      </c>
    </row>
    <row r="7" spans="1:9" ht="18" customHeight="1">
      <c r="A7" s="468">
        <v>1</v>
      </c>
      <c r="B7" s="468">
        <v>2</v>
      </c>
      <c r="C7" s="468">
        <v>3</v>
      </c>
      <c r="D7" s="449">
        <v>4</v>
      </c>
      <c r="E7" s="449">
        <v>5</v>
      </c>
      <c r="F7" s="882"/>
      <c r="G7" s="883"/>
      <c r="I7" s="440">
        <v>1</v>
      </c>
    </row>
    <row r="8" spans="1:9" ht="61.5" customHeight="1">
      <c r="A8" s="1081" t="s">
        <v>56</v>
      </c>
      <c r="B8" s="887" t="s">
        <v>952</v>
      </c>
      <c r="C8" s="530">
        <v>501800</v>
      </c>
      <c r="D8" s="530">
        <v>501800</v>
      </c>
      <c r="E8" s="907"/>
      <c r="F8" s="839"/>
      <c r="G8" s="839"/>
      <c r="H8" s="840">
        <f>E8+D8-C8</f>
        <v>0</v>
      </c>
      <c r="I8" s="840">
        <f>SUM(C8:E8)</f>
        <v>1003600</v>
      </c>
    </row>
    <row r="9" spans="1:9" ht="56.25">
      <c r="A9" s="1081"/>
      <c r="B9" s="887" t="s">
        <v>1619</v>
      </c>
      <c r="C9" s="530">
        <v>1700000</v>
      </c>
      <c r="D9" s="530">
        <v>1700000</v>
      </c>
      <c r="E9" s="907"/>
      <c r="F9" s="841"/>
      <c r="G9" s="841"/>
      <c r="H9" s="840">
        <f t="shared" ref="H9:H72" si="0">E9+D9-C9</f>
        <v>0</v>
      </c>
      <c r="I9" s="840">
        <f t="shared" ref="I9:I72" si="1">SUM(C9:E9)</f>
        <v>3400000</v>
      </c>
    </row>
    <row r="10" spans="1:9" ht="37.5">
      <c r="A10" s="1081"/>
      <c r="B10" s="888" t="s">
        <v>1074</v>
      </c>
      <c r="C10" s="905">
        <v>50000</v>
      </c>
      <c r="D10" s="905"/>
      <c r="E10" s="905">
        <v>50000</v>
      </c>
      <c r="F10" s="841"/>
      <c r="G10" s="841"/>
      <c r="H10" s="840">
        <f t="shared" si="0"/>
        <v>0</v>
      </c>
      <c r="I10" s="840">
        <f t="shared" si="1"/>
        <v>100000</v>
      </c>
    </row>
    <row r="11" spans="1:9" ht="37.5">
      <c r="A11" s="1081"/>
      <c r="B11" s="888" t="s">
        <v>1075</v>
      </c>
      <c r="C11" s="905">
        <v>25000</v>
      </c>
      <c r="D11" s="905"/>
      <c r="E11" s="905">
        <v>25000</v>
      </c>
      <c r="F11" s="841"/>
      <c r="G11" s="841"/>
      <c r="H11" s="840">
        <f t="shared" si="0"/>
        <v>0</v>
      </c>
      <c r="I11" s="840">
        <f t="shared" si="1"/>
        <v>50000</v>
      </c>
    </row>
    <row r="12" spans="1:9">
      <c r="A12" s="1081"/>
      <c r="B12" s="888" t="s">
        <v>1076</v>
      </c>
      <c r="C12" s="905">
        <v>25000</v>
      </c>
      <c r="D12" s="905">
        <v>25000</v>
      </c>
      <c r="E12" s="905"/>
      <c r="F12" s="841"/>
      <c r="G12" s="841"/>
      <c r="H12" s="840">
        <f t="shared" si="0"/>
        <v>0</v>
      </c>
      <c r="I12" s="840">
        <f t="shared" si="1"/>
        <v>50000</v>
      </c>
    </row>
    <row r="13" spans="1:9" ht="37.5">
      <c r="A13" s="1081"/>
      <c r="B13" s="888" t="s">
        <v>1077</v>
      </c>
      <c r="C13" s="905">
        <v>25000</v>
      </c>
      <c r="D13" s="905"/>
      <c r="E13" s="905">
        <v>25000</v>
      </c>
      <c r="F13" s="841"/>
      <c r="G13" s="841"/>
      <c r="H13" s="840">
        <f t="shared" si="0"/>
        <v>0</v>
      </c>
      <c r="I13" s="840">
        <f t="shared" si="1"/>
        <v>50000</v>
      </c>
    </row>
    <row r="14" spans="1:9" ht="56.25">
      <c r="A14" s="1081"/>
      <c r="B14" s="888" t="s">
        <v>1078</v>
      </c>
      <c r="C14" s="905">
        <v>25000</v>
      </c>
      <c r="D14" s="905">
        <v>25000</v>
      </c>
      <c r="E14" s="905"/>
      <c r="F14" s="841"/>
      <c r="G14" s="841"/>
      <c r="H14" s="840">
        <f t="shared" si="0"/>
        <v>0</v>
      </c>
      <c r="I14" s="840">
        <f t="shared" si="1"/>
        <v>50000</v>
      </c>
    </row>
    <row r="15" spans="1:9" ht="112.5">
      <c r="A15" s="1081"/>
      <c r="B15" s="888" t="s">
        <v>1136</v>
      </c>
      <c r="C15" s="905">
        <v>40000</v>
      </c>
      <c r="D15" s="905">
        <v>40000</v>
      </c>
      <c r="E15" s="905"/>
      <c r="F15" s="841"/>
      <c r="G15" s="841"/>
      <c r="H15" s="840">
        <f t="shared" si="0"/>
        <v>0</v>
      </c>
      <c r="I15" s="840">
        <f t="shared" si="1"/>
        <v>80000</v>
      </c>
    </row>
    <row r="16" spans="1:9" ht="37.5">
      <c r="A16" s="1081"/>
      <c r="B16" s="475" t="s">
        <v>1155</v>
      </c>
      <c r="C16" s="530">
        <v>49500</v>
      </c>
      <c r="D16" s="530"/>
      <c r="E16" s="905">
        <v>49500</v>
      </c>
      <c r="F16" s="841"/>
      <c r="G16" s="841"/>
      <c r="H16" s="840">
        <f t="shared" si="0"/>
        <v>0</v>
      </c>
      <c r="I16" s="840">
        <f t="shared" si="1"/>
        <v>99000</v>
      </c>
    </row>
    <row r="17" spans="1:9" ht="56.25">
      <c r="A17" s="1081"/>
      <c r="B17" s="475" t="s">
        <v>1156</v>
      </c>
      <c r="C17" s="530">
        <v>46500</v>
      </c>
      <c r="D17" s="530">
        <v>46500</v>
      </c>
      <c r="E17" s="905"/>
      <c r="F17" s="841"/>
      <c r="G17" s="841"/>
      <c r="H17" s="840">
        <f t="shared" si="0"/>
        <v>0</v>
      </c>
      <c r="I17" s="840">
        <f t="shared" si="1"/>
        <v>93000</v>
      </c>
    </row>
    <row r="18" spans="1:9" ht="75">
      <c r="A18" s="1081"/>
      <c r="B18" s="475" t="s">
        <v>1157</v>
      </c>
      <c r="C18" s="530">
        <v>49900</v>
      </c>
      <c r="D18" s="530"/>
      <c r="E18" s="905">
        <v>49900</v>
      </c>
      <c r="F18" s="841"/>
      <c r="G18" s="841"/>
      <c r="H18" s="840">
        <f t="shared" si="0"/>
        <v>0</v>
      </c>
      <c r="I18" s="840">
        <f t="shared" si="1"/>
        <v>99800</v>
      </c>
    </row>
    <row r="19" spans="1:9" ht="75">
      <c r="A19" s="1081"/>
      <c r="B19" s="475" t="s">
        <v>1158</v>
      </c>
      <c r="C19" s="530">
        <v>49900</v>
      </c>
      <c r="D19" s="530">
        <v>41900</v>
      </c>
      <c r="E19" s="905">
        <v>8000</v>
      </c>
      <c r="F19" s="841"/>
      <c r="G19" s="841"/>
      <c r="H19" s="840">
        <f t="shared" si="0"/>
        <v>0</v>
      </c>
      <c r="I19" s="840">
        <f t="shared" si="1"/>
        <v>99800</v>
      </c>
    </row>
    <row r="20" spans="1:9" ht="37.5">
      <c r="A20" s="1081"/>
      <c r="B20" s="475" t="s">
        <v>1159</v>
      </c>
      <c r="C20" s="530">
        <v>49500</v>
      </c>
      <c r="D20" s="530">
        <v>49500</v>
      </c>
      <c r="E20" s="905"/>
      <c r="F20" s="841"/>
      <c r="G20" s="841"/>
      <c r="H20" s="840">
        <f t="shared" si="0"/>
        <v>0</v>
      </c>
      <c r="I20" s="840">
        <f t="shared" si="1"/>
        <v>99000</v>
      </c>
    </row>
    <row r="21" spans="1:9" ht="150">
      <c r="A21" s="1081"/>
      <c r="B21" s="475" t="s">
        <v>1160</v>
      </c>
      <c r="C21" s="530">
        <v>120000</v>
      </c>
      <c r="D21" s="530">
        <v>120000</v>
      </c>
      <c r="E21" s="905"/>
      <c r="F21" s="841"/>
      <c r="G21" s="841"/>
      <c r="H21" s="840">
        <f t="shared" si="0"/>
        <v>0</v>
      </c>
      <c r="I21" s="840">
        <f t="shared" si="1"/>
        <v>240000</v>
      </c>
    </row>
    <row r="22" spans="1:9" ht="75">
      <c r="A22" s="1081"/>
      <c r="B22" s="475" t="s">
        <v>1161</v>
      </c>
      <c r="C22" s="530">
        <v>25000</v>
      </c>
      <c r="D22" s="530"/>
      <c r="E22" s="530">
        <v>25000</v>
      </c>
      <c r="F22" s="841"/>
      <c r="G22" s="841"/>
      <c r="H22" s="840">
        <f t="shared" si="0"/>
        <v>0</v>
      </c>
      <c r="I22" s="840">
        <f t="shared" si="1"/>
        <v>50000</v>
      </c>
    </row>
    <row r="23" spans="1:9" ht="75">
      <c r="A23" s="1081"/>
      <c r="B23" s="475" t="s">
        <v>1162</v>
      </c>
      <c r="C23" s="530">
        <v>20000</v>
      </c>
      <c r="D23" s="530"/>
      <c r="E23" s="530">
        <v>20000</v>
      </c>
      <c r="F23" s="841"/>
      <c r="G23" s="841"/>
      <c r="H23" s="840">
        <f t="shared" si="0"/>
        <v>0</v>
      </c>
      <c r="I23" s="840">
        <f t="shared" si="1"/>
        <v>40000</v>
      </c>
    </row>
    <row r="24" spans="1:9" ht="56.25">
      <c r="A24" s="1081"/>
      <c r="B24" s="475" t="s">
        <v>1163</v>
      </c>
      <c r="C24" s="530">
        <v>25000</v>
      </c>
      <c r="D24" s="530">
        <v>25000</v>
      </c>
      <c r="E24" s="530"/>
      <c r="F24" s="841"/>
      <c r="G24" s="841"/>
      <c r="H24" s="840">
        <f t="shared" si="0"/>
        <v>0</v>
      </c>
      <c r="I24" s="840">
        <f t="shared" si="1"/>
        <v>50000</v>
      </c>
    </row>
    <row r="25" spans="1:9" ht="75">
      <c r="A25" s="1081"/>
      <c r="B25" s="475" t="s">
        <v>1164</v>
      </c>
      <c r="C25" s="905">
        <v>50000</v>
      </c>
      <c r="D25" s="932"/>
      <c r="E25" s="905">
        <v>50000</v>
      </c>
      <c r="F25" s="841"/>
      <c r="G25" s="841"/>
      <c r="H25" s="840">
        <f t="shared" si="0"/>
        <v>0</v>
      </c>
      <c r="I25" s="840">
        <f t="shared" si="1"/>
        <v>100000</v>
      </c>
    </row>
    <row r="26" spans="1:9" ht="75">
      <c r="A26" s="1081"/>
      <c r="B26" s="475" t="s">
        <v>1165</v>
      </c>
      <c r="C26" s="905">
        <v>50000</v>
      </c>
      <c r="D26" s="932"/>
      <c r="E26" s="905">
        <v>50000</v>
      </c>
      <c r="F26" s="841"/>
      <c r="G26" s="841"/>
      <c r="H26" s="840">
        <f t="shared" si="0"/>
        <v>0</v>
      </c>
      <c r="I26" s="840">
        <f t="shared" si="1"/>
        <v>100000</v>
      </c>
    </row>
    <row r="27" spans="1:9" s="302" customFormat="1" ht="56.25">
      <c r="A27" s="1068"/>
      <c r="B27" s="475" t="s">
        <v>1166</v>
      </c>
      <c r="C27" s="905">
        <v>20000</v>
      </c>
      <c r="D27" s="932">
        <v>20000</v>
      </c>
      <c r="E27" s="932"/>
      <c r="F27" s="841"/>
      <c r="G27" s="841"/>
      <c r="H27" s="840">
        <f t="shared" si="0"/>
        <v>0</v>
      </c>
      <c r="I27" s="840">
        <f t="shared" si="1"/>
        <v>40000</v>
      </c>
    </row>
    <row r="28" spans="1:9" s="302" customFormat="1" ht="93.75">
      <c r="A28" s="1068"/>
      <c r="B28" s="475" t="s">
        <v>1167</v>
      </c>
      <c r="C28" s="530">
        <v>10000</v>
      </c>
      <c r="D28" s="530">
        <v>10000</v>
      </c>
      <c r="E28" s="905"/>
      <c r="F28" s="841"/>
      <c r="G28" s="841"/>
      <c r="H28" s="840">
        <f t="shared" si="0"/>
        <v>0</v>
      </c>
      <c r="I28" s="840">
        <f t="shared" si="1"/>
        <v>20000</v>
      </c>
    </row>
    <row r="29" spans="1:9" s="302" customFormat="1" ht="75">
      <c r="A29" s="1068"/>
      <c r="B29" s="475" t="s">
        <v>1168</v>
      </c>
      <c r="C29" s="530">
        <v>10000</v>
      </c>
      <c r="D29" s="530">
        <v>10000</v>
      </c>
      <c r="E29" s="905"/>
      <c r="F29" s="841"/>
      <c r="G29" s="841"/>
      <c r="H29" s="840">
        <f t="shared" si="0"/>
        <v>0</v>
      </c>
      <c r="I29" s="840">
        <f t="shared" si="1"/>
        <v>20000</v>
      </c>
    </row>
    <row r="30" spans="1:9" s="302" customFormat="1" ht="112.5">
      <c r="A30" s="1068"/>
      <c r="B30" s="475" t="s">
        <v>1169</v>
      </c>
      <c r="C30" s="530">
        <v>246000</v>
      </c>
      <c r="D30" s="530"/>
      <c r="E30" s="905">
        <v>246000</v>
      </c>
      <c r="F30" s="841"/>
      <c r="G30" s="841"/>
      <c r="H30" s="840">
        <f t="shared" si="0"/>
        <v>0</v>
      </c>
      <c r="I30" s="840">
        <f t="shared" si="1"/>
        <v>492000</v>
      </c>
    </row>
    <row r="31" spans="1:9" s="302" customFormat="1" ht="112.5">
      <c r="A31" s="1068"/>
      <c r="B31" s="475" t="s">
        <v>1813</v>
      </c>
      <c r="C31" s="530">
        <v>30000</v>
      </c>
      <c r="D31" s="530">
        <v>30000</v>
      </c>
      <c r="E31" s="905"/>
      <c r="F31" s="841"/>
      <c r="G31" s="841"/>
      <c r="H31" s="840">
        <f t="shared" si="0"/>
        <v>0</v>
      </c>
      <c r="I31" s="840">
        <f t="shared" si="1"/>
        <v>60000</v>
      </c>
    </row>
    <row r="32" spans="1:9" s="302" customFormat="1" ht="75">
      <c r="A32" s="1068"/>
      <c r="B32" s="475" t="s">
        <v>1170</v>
      </c>
      <c r="C32" s="530">
        <v>29000</v>
      </c>
      <c r="D32" s="530">
        <v>29000</v>
      </c>
      <c r="E32" s="905"/>
      <c r="F32" s="841"/>
      <c r="G32" s="841"/>
      <c r="H32" s="840">
        <f t="shared" si="0"/>
        <v>0</v>
      </c>
      <c r="I32" s="840">
        <f t="shared" si="1"/>
        <v>58000</v>
      </c>
    </row>
    <row r="33" spans="1:9" s="302" customFormat="1" ht="56.25">
      <c r="A33" s="1068"/>
      <c r="B33" s="475" t="s">
        <v>1171</v>
      </c>
      <c r="C33" s="530">
        <v>7000</v>
      </c>
      <c r="D33" s="530"/>
      <c r="E33" s="905">
        <v>7000</v>
      </c>
      <c r="F33" s="841"/>
      <c r="G33" s="841"/>
      <c r="H33" s="840">
        <f t="shared" si="0"/>
        <v>0</v>
      </c>
      <c r="I33" s="840">
        <f t="shared" si="1"/>
        <v>14000</v>
      </c>
    </row>
    <row r="34" spans="1:9" s="302" customFormat="1" ht="56.25">
      <c r="A34" s="1068"/>
      <c r="B34" s="475" t="s">
        <v>1172</v>
      </c>
      <c r="C34" s="530">
        <v>10000</v>
      </c>
      <c r="D34" s="530">
        <v>10000</v>
      </c>
      <c r="E34" s="905"/>
      <c r="F34" s="841"/>
      <c r="G34" s="841"/>
      <c r="H34" s="840">
        <f t="shared" si="0"/>
        <v>0</v>
      </c>
      <c r="I34" s="840">
        <f t="shared" si="1"/>
        <v>20000</v>
      </c>
    </row>
    <row r="35" spans="1:9" s="302" customFormat="1" ht="93.75">
      <c r="A35" s="1068"/>
      <c r="B35" s="475" t="s">
        <v>1173</v>
      </c>
      <c r="C35" s="905">
        <v>30000</v>
      </c>
      <c r="D35" s="932">
        <v>30000</v>
      </c>
      <c r="E35" s="932"/>
      <c r="F35" s="841"/>
      <c r="G35" s="841"/>
      <c r="H35" s="840">
        <f t="shared" si="0"/>
        <v>0</v>
      </c>
      <c r="I35" s="840">
        <f t="shared" si="1"/>
        <v>60000</v>
      </c>
    </row>
    <row r="36" spans="1:9" s="302" customFormat="1" ht="93.75">
      <c r="A36" s="1068"/>
      <c r="B36" s="475" t="s">
        <v>1758</v>
      </c>
      <c r="C36" s="908">
        <v>26000</v>
      </c>
      <c r="D36" s="908">
        <v>3000</v>
      </c>
      <c r="E36" s="905">
        <v>23000</v>
      </c>
      <c r="F36" s="841"/>
      <c r="G36" s="841"/>
      <c r="H36" s="840">
        <f t="shared" si="0"/>
        <v>0</v>
      </c>
      <c r="I36" s="840">
        <f t="shared" si="1"/>
        <v>52000</v>
      </c>
    </row>
    <row r="37" spans="1:9" s="302" customFormat="1" ht="56.25">
      <c r="A37" s="1068"/>
      <c r="B37" s="475" t="s">
        <v>1759</v>
      </c>
      <c r="C37" s="908">
        <v>16000</v>
      </c>
      <c r="D37" s="908"/>
      <c r="E37" s="905">
        <v>16000</v>
      </c>
      <c r="F37" s="841"/>
      <c r="G37" s="841"/>
      <c r="H37" s="840">
        <f t="shared" si="0"/>
        <v>0</v>
      </c>
      <c r="I37" s="840">
        <f t="shared" si="1"/>
        <v>32000</v>
      </c>
    </row>
    <row r="38" spans="1:9" s="302" customFormat="1" ht="112.5">
      <c r="A38" s="1068"/>
      <c r="B38" s="475" t="s">
        <v>1760</v>
      </c>
      <c r="C38" s="908">
        <v>10000</v>
      </c>
      <c r="D38" s="908">
        <v>10000</v>
      </c>
      <c r="E38" s="905"/>
      <c r="F38" s="841"/>
      <c r="G38" s="841"/>
      <c r="H38" s="840">
        <f t="shared" si="0"/>
        <v>0</v>
      </c>
      <c r="I38" s="840">
        <f t="shared" si="1"/>
        <v>20000</v>
      </c>
    </row>
    <row r="39" spans="1:9" s="302" customFormat="1" ht="56.25">
      <c r="A39" s="1068"/>
      <c r="B39" s="475" t="s">
        <v>1761</v>
      </c>
      <c r="C39" s="908">
        <v>13000</v>
      </c>
      <c r="D39" s="908">
        <v>13000</v>
      </c>
      <c r="E39" s="905"/>
      <c r="F39" s="841"/>
      <c r="G39" s="841"/>
      <c r="H39" s="840">
        <f t="shared" si="0"/>
        <v>0</v>
      </c>
      <c r="I39" s="840">
        <f t="shared" si="1"/>
        <v>26000</v>
      </c>
    </row>
    <row r="40" spans="1:9" s="302" customFormat="1" ht="93.75">
      <c r="A40" s="1068"/>
      <c r="B40" s="475" t="s">
        <v>1762</v>
      </c>
      <c r="C40" s="908">
        <v>20000</v>
      </c>
      <c r="D40" s="908">
        <v>20000</v>
      </c>
      <c r="E40" s="905"/>
      <c r="F40" s="841"/>
      <c r="G40" s="841"/>
      <c r="H40" s="840">
        <f t="shared" si="0"/>
        <v>0</v>
      </c>
      <c r="I40" s="840">
        <f t="shared" si="1"/>
        <v>40000</v>
      </c>
    </row>
    <row r="41" spans="1:9" s="302" customFormat="1" ht="56.25" hidden="1">
      <c r="A41" s="1068"/>
      <c r="B41" s="889" t="s">
        <v>1869</v>
      </c>
      <c r="C41" s="909">
        <f>50000-50000</f>
        <v>0</v>
      </c>
      <c r="D41" s="910">
        <f>50000-50000</f>
        <v>0</v>
      </c>
      <c r="E41" s="910"/>
      <c r="F41" s="841"/>
      <c r="G41" s="841"/>
      <c r="H41" s="840">
        <f t="shared" si="0"/>
        <v>0</v>
      </c>
      <c r="I41" s="840">
        <f t="shared" si="1"/>
        <v>0</v>
      </c>
    </row>
    <row r="42" spans="1:9" s="302" customFormat="1" ht="83.25" customHeight="1">
      <c r="A42" s="1068"/>
      <c r="B42" s="475" t="s">
        <v>1870</v>
      </c>
      <c r="C42" s="911">
        <v>50000</v>
      </c>
      <c r="D42" s="905">
        <v>50000</v>
      </c>
      <c r="E42" s="905"/>
      <c r="F42" s="841"/>
      <c r="G42" s="841"/>
      <c r="H42" s="840">
        <f t="shared" si="0"/>
        <v>0</v>
      </c>
      <c r="I42" s="840">
        <f t="shared" si="1"/>
        <v>100000</v>
      </c>
    </row>
    <row r="43" spans="1:9" s="302" customFormat="1" ht="75">
      <c r="A43" s="1068"/>
      <c r="B43" s="475" t="s">
        <v>1871</v>
      </c>
      <c r="C43" s="911">
        <v>150000</v>
      </c>
      <c r="D43" s="905">
        <v>150000</v>
      </c>
      <c r="E43" s="905"/>
      <c r="F43" s="841"/>
      <c r="G43" s="841"/>
      <c r="H43" s="840">
        <f t="shared" si="0"/>
        <v>0</v>
      </c>
      <c r="I43" s="840">
        <f t="shared" si="1"/>
        <v>300000</v>
      </c>
    </row>
    <row r="44" spans="1:9" s="302" customFormat="1" ht="56.25">
      <c r="A44" s="1068"/>
      <c r="B44" s="475" t="s">
        <v>1872</v>
      </c>
      <c r="C44" s="911">
        <v>45000</v>
      </c>
      <c r="D44" s="905">
        <v>45000</v>
      </c>
      <c r="E44" s="905"/>
      <c r="F44" s="841"/>
      <c r="G44" s="841"/>
      <c r="H44" s="840">
        <f t="shared" si="0"/>
        <v>0</v>
      </c>
      <c r="I44" s="840">
        <f t="shared" si="1"/>
        <v>90000</v>
      </c>
    </row>
    <row r="45" spans="1:9" s="302" customFormat="1" ht="56.25">
      <c r="A45" s="1068"/>
      <c r="B45" s="890" t="s">
        <v>1873</v>
      </c>
      <c r="C45" s="911">
        <v>40000</v>
      </c>
      <c r="D45" s="912">
        <v>40000</v>
      </c>
      <c r="E45" s="912"/>
      <c r="F45" s="841"/>
      <c r="G45" s="841"/>
      <c r="H45" s="840">
        <f t="shared" si="0"/>
        <v>0</v>
      </c>
      <c r="I45" s="840">
        <f t="shared" si="1"/>
        <v>80000</v>
      </c>
    </row>
    <row r="46" spans="1:9" s="302" customFormat="1" ht="37.5">
      <c r="A46" s="1068"/>
      <c r="B46" s="890" t="s">
        <v>1874</v>
      </c>
      <c r="C46" s="911">
        <v>20000</v>
      </c>
      <c r="D46" s="905"/>
      <c r="E46" s="905">
        <v>20000</v>
      </c>
      <c r="F46" s="841"/>
      <c r="G46" s="841"/>
      <c r="H46" s="840">
        <f t="shared" si="0"/>
        <v>0</v>
      </c>
      <c r="I46" s="840">
        <f t="shared" si="1"/>
        <v>40000</v>
      </c>
    </row>
    <row r="47" spans="1:9" s="302" customFormat="1" ht="56.25">
      <c r="A47" s="1068"/>
      <c r="B47" s="890" t="s">
        <v>1875</v>
      </c>
      <c r="C47" s="911">
        <v>20000</v>
      </c>
      <c r="D47" s="905">
        <v>20000</v>
      </c>
      <c r="E47" s="905"/>
      <c r="F47" s="841"/>
      <c r="G47" s="841"/>
      <c r="H47" s="840">
        <f t="shared" si="0"/>
        <v>0</v>
      </c>
      <c r="I47" s="840">
        <f t="shared" si="1"/>
        <v>40000</v>
      </c>
    </row>
    <row r="48" spans="1:9" s="302" customFormat="1" ht="56.25">
      <c r="A48" s="1068"/>
      <c r="B48" s="890" t="s">
        <v>1876</v>
      </c>
      <c r="C48" s="911">
        <v>20000</v>
      </c>
      <c r="D48" s="905">
        <v>10000</v>
      </c>
      <c r="E48" s="905">
        <v>10000</v>
      </c>
      <c r="F48" s="841"/>
      <c r="G48" s="841"/>
      <c r="H48" s="840">
        <f t="shared" si="0"/>
        <v>0</v>
      </c>
      <c r="I48" s="840">
        <f t="shared" si="1"/>
        <v>40000</v>
      </c>
    </row>
    <row r="49" spans="1:9" s="302" customFormat="1" ht="37.5">
      <c r="A49" s="1068"/>
      <c r="B49" s="475" t="s">
        <v>1877</v>
      </c>
      <c r="C49" s="911">
        <v>20000</v>
      </c>
      <c r="D49" s="913">
        <v>9000</v>
      </c>
      <c r="E49" s="913">
        <v>11000</v>
      </c>
      <c r="F49" s="841"/>
      <c r="G49" s="841"/>
      <c r="H49" s="840">
        <f t="shared" si="0"/>
        <v>0</v>
      </c>
      <c r="I49" s="840">
        <f t="shared" si="1"/>
        <v>40000</v>
      </c>
    </row>
    <row r="50" spans="1:9" s="302" customFormat="1" ht="56.25">
      <c r="A50" s="1068"/>
      <c r="B50" s="890" t="s">
        <v>1878</v>
      </c>
      <c r="C50" s="911">
        <v>20000</v>
      </c>
      <c r="D50" s="911">
        <v>20000</v>
      </c>
      <c r="E50" s="911"/>
      <c r="F50" s="843">
        <v>25000</v>
      </c>
      <c r="G50" s="843"/>
      <c r="H50" s="840">
        <f t="shared" si="0"/>
        <v>0</v>
      </c>
      <c r="I50" s="840">
        <f t="shared" si="1"/>
        <v>40000</v>
      </c>
    </row>
    <row r="51" spans="1:9" s="302" customFormat="1" ht="56.25">
      <c r="A51" s="1068"/>
      <c r="B51" s="890" t="s">
        <v>1879</v>
      </c>
      <c r="C51" s="911">
        <v>36000</v>
      </c>
      <c r="D51" s="911">
        <v>36000</v>
      </c>
      <c r="E51" s="911"/>
      <c r="F51" s="841"/>
      <c r="G51" s="841"/>
      <c r="H51" s="840">
        <f t="shared" si="0"/>
        <v>0</v>
      </c>
      <c r="I51" s="840">
        <f t="shared" si="1"/>
        <v>72000</v>
      </c>
    </row>
    <row r="52" spans="1:9" s="302" customFormat="1" ht="56.25">
      <c r="A52" s="1068"/>
      <c r="B52" s="890" t="s">
        <v>1880</v>
      </c>
      <c r="C52" s="911">
        <v>20000</v>
      </c>
      <c r="D52" s="911"/>
      <c r="E52" s="911">
        <v>20000</v>
      </c>
      <c r="F52" s="841"/>
      <c r="G52" s="841"/>
      <c r="H52" s="840">
        <f t="shared" si="0"/>
        <v>0</v>
      </c>
      <c r="I52" s="840">
        <f t="shared" si="1"/>
        <v>40000</v>
      </c>
    </row>
    <row r="53" spans="1:9" s="302" customFormat="1" ht="37.5">
      <c r="A53" s="1068"/>
      <c r="B53" s="475" t="s">
        <v>1950</v>
      </c>
      <c r="C53" s="908">
        <v>49000</v>
      </c>
      <c r="D53" s="908"/>
      <c r="E53" s="905">
        <v>49000</v>
      </c>
      <c r="F53" s="841"/>
      <c r="G53" s="841"/>
      <c r="H53" s="840">
        <f t="shared" si="0"/>
        <v>0</v>
      </c>
      <c r="I53" s="840">
        <f t="shared" si="1"/>
        <v>98000</v>
      </c>
    </row>
    <row r="54" spans="1:9" s="302" customFormat="1" ht="75">
      <c r="A54" s="1068"/>
      <c r="B54" s="475" t="s">
        <v>1951</v>
      </c>
      <c r="C54" s="908">
        <v>49900</v>
      </c>
      <c r="D54" s="908">
        <v>24900</v>
      </c>
      <c r="E54" s="905">
        <v>25000</v>
      </c>
      <c r="F54" s="841"/>
      <c r="G54" s="841"/>
      <c r="H54" s="840">
        <f t="shared" si="0"/>
        <v>0</v>
      </c>
      <c r="I54" s="840">
        <f t="shared" si="1"/>
        <v>99800</v>
      </c>
    </row>
    <row r="55" spans="1:9" s="302" customFormat="1" ht="93.75">
      <c r="A55" s="1068"/>
      <c r="B55" s="475" t="s">
        <v>1952</v>
      </c>
      <c r="C55" s="908">
        <v>49900</v>
      </c>
      <c r="D55" s="908"/>
      <c r="E55" s="905">
        <v>49900</v>
      </c>
      <c r="F55" s="841"/>
      <c r="G55" s="841"/>
      <c r="H55" s="840">
        <f t="shared" si="0"/>
        <v>0</v>
      </c>
      <c r="I55" s="840">
        <f t="shared" si="1"/>
        <v>99800</v>
      </c>
    </row>
    <row r="56" spans="1:9" s="302" customFormat="1" ht="56.25">
      <c r="A56" s="1068"/>
      <c r="B56" s="475" t="s">
        <v>1953</v>
      </c>
      <c r="C56" s="908">
        <v>7000</v>
      </c>
      <c r="D56" s="908">
        <v>7000</v>
      </c>
      <c r="E56" s="905"/>
      <c r="F56" s="841"/>
      <c r="G56" s="841"/>
      <c r="H56" s="840">
        <f t="shared" si="0"/>
        <v>0</v>
      </c>
      <c r="I56" s="840">
        <f t="shared" si="1"/>
        <v>14000</v>
      </c>
    </row>
    <row r="57" spans="1:9" s="302" customFormat="1" ht="93.75">
      <c r="A57" s="1068"/>
      <c r="B57" s="475" t="s">
        <v>1954</v>
      </c>
      <c r="C57" s="908">
        <v>12000</v>
      </c>
      <c r="D57" s="908">
        <v>12000</v>
      </c>
      <c r="E57" s="905"/>
      <c r="F57" s="841"/>
      <c r="G57" s="841"/>
      <c r="H57" s="840">
        <f t="shared" si="0"/>
        <v>0</v>
      </c>
      <c r="I57" s="840">
        <f t="shared" si="1"/>
        <v>24000</v>
      </c>
    </row>
    <row r="58" spans="1:9" s="302" customFormat="1" ht="56.25">
      <c r="A58" s="1068"/>
      <c r="B58" s="475" t="s">
        <v>1955</v>
      </c>
      <c r="C58" s="908">
        <v>23900</v>
      </c>
      <c r="D58" s="908">
        <v>23900</v>
      </c>
      <c r="E58" s="905"/>
      <c r="F58" s="841"/>
      <c r="G58" s="841"/>
      <c r="H58" s="840">
        <f t="shared" si="0"/>
        <v>0</v>
      </c>
      <c r="I58" s="840">
        <f t="shared" si="1"/>
        <v>47800</v>
      </c>
    </row>
    <row r="59" spans="1:9" s="302" customFormat="1" ht="56.25">
      <c r="A59" s="1068"/>
      <c r="B59" s="475" t="s">
        <v>2344</v>
      </c>
      <c r="C59" s="908">
        <v>7000</v>
      </c>
      <c r="D59" s="908">
        <v>7000</v>
      </c>
      <c r="E59" s="905"/>
      <c r="F59" s="841"/>
      <c r="G59" s="841"/>
      <c r="H59" s="840">
        <f t="shared" si="0"/>
        <v>0</v>
      </c>
      <c r="I59" s="840">
        <f t="shared" si="1"/>
        <v>14000</v>
      </c>
    </row>
    <row r="60" spans="1:9" s="302" customFormat="1" ht="75">
      <c r="A60" s="1068"/>
      <c r="B60" s="475" t="s">
        <v>2345</v>
      </c>
      <c r="C60" s="908">
        <v>7000</v>
      </c>
      <c r="D60" s="908">
        <v>7000</v>
      </c>
      <c r="E60" s="905"/>
      <c r="F60" s="841"/>
      <c r="G60" s="841"/>
      <c r="H60" s="840">
        <f t="shared" si="0"/>
        <v>0</v>
      </c>
      <c r="I60" s="840">
        <f t="shared" si="1"/>
        <v>14000</v>
      </c>
    </row>
    <row r="61" spans="1:9" s="302" customFormat="1" ht="75">
      <c r="A61" s="1068"/>
      <c r="B61" s="475" t="s">
        <v>2346</v>
      </c>
      <c r="C61" s="908">
        <v>7000</v>
      </c>
      <c r="D61" s="908">
        <v>7000</v>
      </c>
      <c r="E61" s="905"/>
      <c r="F61" s="841"/>
      <c r="G61" s="841"/>
      <c r="H61" s="840">
        <f t="shared" si="0"/>
        <v>0</v>
      </c>
      <c r="I61" s="840">
        <f t="shared" si="1"/>
        <v>14000</v>
      </c>
    </row>
    <row r="62" spans="1:9" s="302" customFormat="1" ht="75">
      <c r="A62" s="1068"/>
      <c r="B62" s="475" t="s">
        <v>2347</v>
      </c>
      <c r="C62" s="908">
        <v>7000</v>
      </c>
      <c r="D62" s="908">
        <v>7000</v>
      </c>
      <c r="E62" s="905"/>
      <c r="F62" s="841"/>
      <c r="G62" s="841"/>
      <c r="H62" s="840">
        <f t="shared" si="0"/>
        <v>0</v>
      </c>
      <c r="I62" s="840">
        <f t="shared" si="1"/>
        <v>14000</v>
      </c>
    </row>
    <row r="63" spans="1:9" s="302" customFormat="1" ht="75">
      <c r="A63" s="1068"/>
      <c r="B63" s="475" t="s">
        <v>2348</v>
      </c>
      <c r="C63" s="908">
        <v>7000</v>
      </c>
      <c r="D63" s="908">
        <v>7000</v>
      </c>
      <c r="E63" s="905"/>
      <c r="F63" s="841"/>
      <c r="G63" s="841"/>
      <c r="H63" s="840">
        <f t="shared" si="0"/>
        <v>0</v>
      </c>
      <c r="I63" s="840">
        <f t="shared" si="1"/>
        <v>14000</v>
      </c>
    </row>
    <row r="64" spans="1:9" s="302" customFormat="1" ht="75">
      <c r="A64" s="1068"/>
      <c r="B64" s="475" t="s">
        <v>2349</v>
      </c>
      <c r="C64" s="908">
        <v>7000</v>
      </c>
      <c r="D64" s="908">
        <v>7000</v>
      </c>
      <c r="E64" s="905"/>
      <c r="F64" s="841"/>
      <c r="G64" s="841"/>
      <c r="H64" s="840">
        <f t="shared" si="0"/>
        <v>0</v>
      </c>
      <c r="I64" s="840">
        <f t="shared" si="1"/>
        <v>14000</v>
      </c>
    </row>
    <row r="65" spans="1:9" s="302" customFormat="1" ht="56.25">
      <c r="A65" s="1068"/>
      <c r="B65" s="475" t="s">
        <v>2350</v>
      </c>
      <c r="C65" s="908">
        <v>7000</v>
      </c>
      <c r="D65" s="908">
        <v>7000</v>
      </c>
      <c r="E65" s="905"/>
      <c r="F65" s="841"/>
      <c r="G65" s="841"/>
      <c r="H65" s="840">
        <f t="shared" si="0"/>
        <v>0</v>
      </c>
      <c r="I65" s="840">
        <f t="shared" si="1"/>
        <v>14000</v>
      </c>
    </row>
    <row r="66" spans="1:9" s="302" customFormat="1" ht="56.25">
      <c r="A66" s="1068"/>
      <c r="B66" s="475" t="s">
        <v>2351</v>
      </c>
      <c r="C66" s="908">
        <v>7000</v>
      </c>
      <c r="D66" s="908">
        <v>7000</v>
      </c>
      <c r="E66" s="905"/>
      <c r="F66" s="841"/>
      <c r="G66" s="841"/>
      <c r="H66" s="840">
        <f t="shared" si="0"/>
        <v>0</v>
      </c>
      <c r="I66" s="840">
        <f t="shared" si="1"/>
        <v>14000</v>
      </c>
    </row>
    <row r="67" spans="1:9" s="302" customFormat="1" ht="56.25">
      <c r="A67" s="1068"/>
      <c r="B67" s="475" t="s">
        <v>2352</v>
      </c>
      <c r="C67" s="908">
        <v>7000</v>
      </c>
      <c r="D67" s="908">
        <v>7000</v>
      </c>
      <c r="E67" s="905"/>
      <c r="F67" s="841"/>
      <c r="G67" s="841"/>
      <c r="H67" s="840">
        <f t="shared" si="0"/>
        <v>0</v>
      </c>
      <c r="I67" s="840">
        <f t="shared" si="1"/>
        <v>14000</v>
      </c>
    </row>
    <row r="68" spans="1:9" s="302" customFormat="1" ht="56.25">
      <c r="A68" s="1068"/>
      <c r="B68" s="475" t="s">
        <v>2353</v>
      </c>
      <c r="C68" s="908">
        <v>7000</v>
      </c>
      <c r="D68" s="908">
        <v>7000</v>
      </c>
      <c r="E68" s="905"/>
      <c r="F68" s="841"/>
      <c r="G68" s="841"/>
      <c r="H68" s="840">
        <f t="shared" si="0"/>
        <v>0</v>
      </c>
      <c r="I68" s="840">
        <f t="shared" si="1"/>
        <v>14000</v>
      </c>
    </row>
    <row r="69" spans="1:9" s="302" customFormat="1" ht="75">
      <c r="A69" s="1068"/>
      <c r="B69" s="475" t="s">
        <v>2354</v>
      </c>
      <c r="C69" s="908">
        <v>7000</v>
      </c>
      <c r="D69" s="908">
        <v>7000</v>
      </c>
      <c r="E69" s="905"/>
      <c r="F69" s="841"/>
      <c r="G69" s="841"/>
      <c r="H69" s="840">
        <f t="shared" si="0"/>
        <v>0</v>
      </c>
      <c r="I69" s="840">
        <f t="shared" si="1"/>
        <v>14000</v>
      </c>
    </row>
    <row r="70" spans="1:9" s="302" customFormat="1" ht="56.25">
      <c r="A70" s="1068"/>
      <c r="B70" s="475" t="s">
        <v>2355</v>
      </c>
      <c r="C70" s="908">
        <v>7000</v>
      </c>
      <c r="D70" s="908">
        <v>7000</v>
      </c>
      <c r="E70" s="905"/>
      <c r="F70" s="841"/>
      <c r="G70" s="841"/>
      <c r="H70" s="840">
        <f t="shared" si="0"/>
        <v>0</v>
      </c>
      <c r="I70" s="840">
        <f t="shared" si="1"/>
        <v>14000</v>
      </c>
    </row>
    <row r="71" spans="1:9" s="302" customFormat="1" ht="75">
      <c r="A71" s="1068"/>
      <c r="B71" s="475" t="s">
        <v>2356</v>
      </c>
      <c r="C71" s="908">
        <v>7000</v>
      </c>
      <c r="D71" s="908">
        <v>7000</v>
      </c>
      <c r="E71" s="905"/>
      <c r="F71" s="841"/>
      <c r="G71" s="841"/>
      <c r="H71" s="840">
        <f t="shared" si="0"/>
        <v>0</v>
      </c>
      <c r="I71" s="840">
        <f t="shared" si="1"/>
        <v>14000</v>
      </c>
    </row>
    <row r="72" spans="1:9" s="302" customFormat="1" ht="75">
      <c r="A72" s="1068"/>
      <c r="B72" s="475" t="s">
        <v>2357</v>
      </c>
      <c r="C72" s="908">
        <v>7000</v>
      </c>
      <c r="D72" s="908">
        <v>7000</v>
      </c>
      <c r="E72" s="905"/>
      <c r="F72" s="841"/>
      <c r="G72" s="841"/>
      <c r="H72" s="840">
        <f t="shared" si="0"/>
        <v>0</v>
      </c>
      <c r="I72" s="840">
        <f t="shared" si="1"/>
        <v>14000</v>
      </c>
    </row>
    <row r="73" spans="1:9" s="302" customFormat="1" ht="56.25">
      <c r="A73" s="1068"/>
      <c r="B73" s="475" t="s">
        <v>2358</v>
      </c>
      <c r="C73" s="908">
        <v>7000</v>
      </c>
      <c r="D73" s="908">
        <v>7000</v>
      </c>
      <c r="E73" s="905"/>
      <c r="F73" s="841"/>
      <c r="G73" s="841"/>
      <c r="H73" s="840">
        <f t="shared" ref="H73:H136" si="2">E73+D73-C73</f>
        <v>0</v>
      </c>
      <c r="I73" s="840">
        <f t="shared" ref="I73:I136" si="3">SUM(C73:E73)</f>
        <v>14000</v>
      </c>
    </row>
    <row r="74" spans="1:9" s="302" customFormat="1" ht="75">
      <c r="A74" s="1068"/>
      <c r="B74" s="475" t="s">
        <v>2359</v>
      </c>
      <c r="C74" s="908">
        <v>7000</v>
      </c>
      <c r="D74" s="908">
        <v>7000</v>
      </c>
      <c r="E74" s="905"/>
      <c r="F74" s="841"/>
      <c r="G74" s="841"/>
      <c r="H74" s="840">
        <f t="shared" si="2"/>
        <v>0</v>
      </c>
      <c r="I74" s="840">
        <f t="shared" si="3"/>
        <v>14000</v>
      </c>
    </row>
    <row r="75" spans="1:9" s="302" customFormat="1" ht="75">
      <c r="A75" s="1068"/>
      <c r="B75" s="475" t="s">
        <v>2360</v>
      </c>
      <c r="C75" s="908">
        <v>7000</v>
      </c>
      <c r="D75" s="908">
        <v>7000</v>
      </c>
      <c r="E75" s="905"/>
      <c r="F75" s="841"/>
      <c r="G75" s="841"/>
      <c r="H75" s="840">
        <f t="shared" si="2"/>
        <v>0</v>
      </c>
      <c r="I75" s="840">
        <f t="shared" si="3"/>
        <v>14000</v>
      </c>
    </row>
    <row r="76" spans="1:9" s="302" customFormat="1" ht="75">
      <c r="A76" s="1068"/>
      <c r="B76" s="475" t="s">
        <v>2361</v>
      </c>
      <c r="C76" s="908">
        <v>7000</v>
      </c>
      <c r="D76" s="908">
        <v>7000</v>
      </c>
      <c r="E76" s="905"/>
      <c r="F76" s="841"/>
      <c r="G76" s="841"/>
      <c r="H76" s="840">
        <f t="shared" si="2"/>
        <v>0</v>
      </c>
      <c r="I76" s="840">
        <f t="shared" si="3"/>
        <v>14000</v>
      </c>
    </row>
    <row r="77" spans="1:9" s="302" customFormat="1" ht="75">
      <c r="A77" s="1068"/>
      <c r="B77" s="475" t="s">
        <v>2362</v>
      </c>
      <c r="C77" s="908">
        <v>7000</v>
      </c>
      <c r="D77" s="908">
        <v>7000</v>
      </c>
      <c r="E77" s="905"/>
      <c r="F77" s="841"/>
      <c r="G77" s="841"/>
      <c r="H77" s="840">
        <f t="shared" si="2"/>
        <v>0</v>
      </c>
      <c r="I77" s="840">
        <f t="shared" si="3"/>
        <v>14000</v>
      </c>
    </row>
    <row r="78" spans="1:9" s="302" customFormat="1" ht="75">
      <c r="A78" s="1068"/>
      <c r="B78" s="475" t="s">
        <v>2363</v>
      </c>
      <c r="C78" s="908">
        <v>7000</v>
      </c>
      <c r="D78" s="908">
        <v>7000</v>
      </c>
      <c r="E78" s="905"/>
      <c r="F78" s="841"/>
      <c r="G78" s="841"/>
      <c r="H78" s="840">
        <f t="shared" si="2"/>
        <v>0</v>
      </c>
      <c r="I78" s="840">
        <f t="shared" si="3"/>
        <v>14000</v>
      </c>
    </row>
    <row r="79" spans="1:9" s="302" customFormat="1" ht="75">
      <c r="A79" s="1068"/>
      <c r="B79" s="475" t="s">
        <v>2364</v>
      </c>
      <c r="C79" s="908">
        <v>7000</v>
      </c>
      <c r="D79" s="908">
        <v>7000</v>
      </c>
      <c r="E79" s="905"/>
      <c r="F79" s="841"/>
      <c r="G79" s="841"/>
      <c r="H79" s="840">
        <f t="shared" si="2"/>
        <v>0</v>
      </c>
      <c r="I79" s="840">
        <f t="shared" si="3"/>
        <v>14000</v>
      </c>
    </row>
    <row r="80" spans="1:9" s="302" customFormat="1" ht="75">
      <c r="A80" s="1068"/>
      <c r="B80" s="475" t="s">
        <v>2365</v>
      </c>
      <c r="C80" s="908">
        <v>7000</v>
      </c>
      <c r="D80" s="908">
        <v>7000</v>
      </c>
      <c r="E80" s="905"/>
      <c r="F80" s="841"/>
      <c r="G80" s="841"/>
      <c r="H80" s="840">
        <f t="shared" si="2"/>
        <v>0</v>
      </c>
      <c r="I80" s="840">
        <f t="shared" si="3"/>
        <v>14000</v>
      </c>
    </row>
    <row r="81" spans="1:9" s="302" customFormat="1" ht="75">
      <c r="A81" s="1068"/>
      <c r="B81" s="475" t="s">
        <v>2366</v>
      </c>
      <c r="C81" s="908">
        <v>7000</v>
      </c>
      <c r="D81" s="908">
        <v>7000</v>
      </c>
      <c r="E81" s="905"/>
      <c r="F81" s="841"/>
      <c r="G81" s="841"/>
      <c r="H81" s="840">
        <f t="shared" si="2"/>
        <v>0</v>
      </c>
      <c r="I81" s="840">
        <f t="shared" si="3"/>
        <v>14000</v>
      </c>
    </row>
    <row r="82" spans="1:9" s="302" customFormat="1" ht="75">
      <c r="A82" s="1071"/>
      <c r="B82" s="475" t="s">
        <v>2367</v>
      </c>
      <c r="C82" s="908">
        <v>7000</v>
      </c>
      <c r="D82" s="908">
        <v>7000</v>
      </c>
      <c r="E82" s="905"/>
      <c r="F82" s="841"/>
      <c r="G82" s="841"/>
      <c r="H82" s="840">
        <f t="shared" si="2"/>
        <v>0</v>
      </c>
      <c r="I82" s="840">
        <f t="shared" si="3"/>
        <v>14000</v>
      </c>
    </row>
    <row r="83" spans="1:9" s="302" customFormat="1" ht="75">
      <c r="A83" s="1071"/>
      <c r="B83" s="475" t="s">
        <v>2368</v>
      </c>
      <c r="C83" s="908">
        <v>7000</v>
      </c>
      <c r="D83" s="908">
        <v>7000</v>
      </c>
      <c r="E83" s="905"/>
      <c r="F83" s="841"/>
      <c r="G83" s="841"/>
      <c r="H83" s="840">
        <f t="shared" si="2"/>
        <v>0</v>
      </c>
      <c r="I83" s="840">
        <f t="shared" si="3"/>
        <v>14000</v>
      </c>
    </row>
    <row r="84" spans="1:9" s="302" customFormat="1" ht="96.6" customHeight="1">
      <c r="A84" s="1071"/>
      <c r="B84" s="475" t="s">
        <v>2369</v>
      </c>
      <c r="C84" s="908">
        <v>7000</v>
      </c>
      <c r="D84" s="908">
        <v>7000</v>
      </c>
      <c r="E84" s="905"/>
      <c r="F84" s="841"/>
      <c r="G84" s="841"/>
      <c r="H84" s="840">
        <f t="shared" si="2"/>
        <v>0</v>
      </c>
      <c r="I84" s="840">
        <f t="shared" si="3"/>
        <v>14000</v>
      </c>
    </row>
    <row r="85" spans="1:9" s="302" customFormat="1" ht="75">
      <c r="A85" s="1071"/>
      <c r="B85" s="475" t="s">
        <v>2370</v>
      </c>
      <c r="C85" s="908">
        <v>7000</v>
      </c>
      <c r="D85" s="908">
        <v>7000</v>
      </c>
      <c r="E85" s="905"/>
      <c r="F85" s="841"/>
      <c r="G85" s="841"/>
      <c r="H85" s="840">
        <f t="shared" si="2"/>
        <v>0</v>
      </c>
      <c r="I85" s="840">
        <f t="shared" si="3"/>
        <v>14000</v>
      </c>
    </row>
    <row r="86" spans="1:9" s="302" customFormat="1" ht="75">
      <c r="A86" s="1071"/>
      <c r="B86" s="475" t="s">
        <v>2371</v>
      </c>
      <c r="C86" s="908">
        <v>7000</v>
      </c>
      <c r="D86" s="908">
        <v>7000</v>
      </c>
      <c r="E86" s="905"/>
      <c r="F86" s="841"/>
      <c r="G86" s="841"/>
      <c r="H86" s="840">
        <f t="shared" si="2"/>
        <v>0</v>
      </c>
      <c r="I86" s="840">
        <f t="shared" si="3"/>
        <v>14000</v>
      </c>
    </row>
    <row r="87" spans="1:9" s="302" customFormat="1" ht="75">
      <c r="A87" s="1071"/>
      <c r="B87" s="475" t="s">
        <v>2372</v>
      </c>
      <c r="C87" s="908">
        <v>7000</v>
      </c>
      <c r="D87" s="908">
        <v>7000</v>
      </c>
      <c r="E87" s="905"/>
      <c r="F87" s="841"/>
      <c r="G87" s="841"/>
      <c r="H87" s="840">
        <f t="shared" si="2"/>
        <v>0</v>
      </c>
      <c r="I87" s="840">
        <f t="shared" si="3"/>
        <v>14000</v>
      </c>
    </row>
    <row r="88" spans="1:9" s="302" customFormat="1" ht="58.15" customHeight="1">
      <c r="A88" s="1071"/>
      <c r="B88" s="475" t="s">
        <v>2373</v>
      </c>
      <c r="C88" s="908">
        <v>7000</v>
      </c>
      <c r="D88" s="908">
        <v>7000</v>
      </c>
      <c r="E88" s="905"/>
      <c r="F88" s="841"/>
      <c r="G88" s="841"/>
      <c r="H88" s="840">
        <f t="shared" si="2"/>
        <v>0</v>
      </c>
      <c r="I88" s="840">
        <f t="shared" si="3"/>
        <v>14000</v>
      </c>
    </row>
    <row r="89" spans="1:9" s="302" customFormat="1" ht="66.599999999999994" customHeight="1">
      <c r="A89" s="1071"/>
      <c r="B89" s="475" t="s">
        <v>2374</v>
      </c>
      <c r="C89" s="908">
        <v>7000</v>
      </c>
      <c r="D89" s="908">
        <v>7000</v>
      </c>
      <c r="E89" s="905"/>
      <c r="F89" s="841"/>
      <c r="G89" s="841"/>
      <c r="H89" s="840">
        <f t="shared" si="2"/>
        <v>0</v>
      </c>
      <c r="I89" s="840">
        <f t="shared" si="3"/>
        <v>14000</v>
      </c>
    </row>
    <row r="90" spans="1:9" s="302" customFormat="1" ht="75">
      <c r="A90" s="1071"/>
      <c r="B90" s="475" t="s">
        <v>2375</v>
      </c>
      <c r="C90" s="908">
        <v>7000</v>
      </c>
      <c r="D90" s="908">
        <v>7000</v>
      </c>
      <c r="E90" s="905"/>
      <c r="F90" s="841"/>
      <c r="G90" s="841"/>
      <c r="H90" s="840">
        <f t="shared" si="2"/>
        <v>0</v>
      </c>
      <c r="I90" s="840">
        <f t="shared" si="3"/>
        <v>14000</v>
      </c>
    </row>
    <row r="91" spans="1:9" s="302" customFormat="1" ht="75">
      <c r="A91" s="1071"/>
      <c r="B91" s="475" t="s">
        <v>2376</v>
      </c>
      <c r="C91" s="908">
        <v>7000</v>
      </c>
      <c r="D91" s="908">
        <v>7000</v>
      </c>
      <c r="E91" s="905"/>
      <c r="F91" s="841"/>
      <c r="G91" s="841"/>
      <c r="H91" s="840">
        <f t="shared" si="2"/>
        <v>0</v>
      </c>
      <c r="I91" s="840">
        <f t="shared" si="3"/>
        <v>14000</v>
      </c>
    </row>
    <row r="92" spans="1:9" s="302" customFormat="1" ht="56.25">
      <c r="A92" s="1071"/>
      <c r="B92" s="475" t="s">
        <v>2377</v>
      </c>
      <c r="C92" s="908">
        <v>7000</v>
      </c>
      <c r="D92" s="908">
        <v>7000</v>
      </c>
      <c r="E92" s="905"/>
      <c r="F92" s="841"/>
      <c r="G92" s="841"/>
      <c r="H92" s="840">
        <f t="shared" si="2"/>
        <v>0</v>
      </c>
      <c r="I92" s="840">
        <f t="shared" si="3"/>
        <v>14000</v>
      </c>
    </row>
    <row r="93" spans="1:9" s="302" customFormat="1" ht="56.25">
      <c r="A93" s="1071"/>
      <c r="B93" s="475" t="s">
        <v>2378</v>
      </c>
      <c r="C93" s="908">
        <v>7000</v>
      </c>
      <c r="D93" s="908">
        <v>7000</v>
      </c>
      <c r="E93" s="905"/>
      <c r="F93" s="841"/>
      <c r="G93" s="841"/>
      <c r="H93" s="840">
        <f t="shared" si="2"/>
        <v>0</v>
      </c>
      <c r="I93" s="840">
        <f t="shared" si="3"/>
        <v>14000</v>
      </c>
    </row>
    <row r="94" spans="1:9" s="302" customFormat="1" ht="56.25">
      <c r="A94" s="1071"/>
      <c r="B94" s="475" t="s">
        <v>2379</v>
      </c>
      <c r="C94" s="908">
        <v>7000</v>
      </c>
      <c r="D94" s="908">
        <v>7000</v>
      </c>
      <c r="E94" s="905"/>
      <c r="F94" s="841"/>
      <c r="G94" s="841"/>
      <c r="H94" s="840">
        <f t="shared" si="2"/>
        <v>0</v>
      </c>
      <c r="I94" s="840">
        <f t="shared" si="3"/>
        <v>14000</v>
      </c>
    </row>
    <row r="95" spans="1:9" s="302" customFormat="1" ht="75">
      <c r="A95" s="1071"/>
      <c r="B95" s="475" t="s">
        <v>2380</v>
      </c>
      <c r="C95" s="908">
        <v>7000</v>
      </c>
      <c r="D95" s="908">
        <v>7000</v>
      </c>
      <c r="E95" s="905"/>
      <c r="F95" s="841"/>
      <c r="G95" s="841"/>
      <c r="H95" s="840">
        <f t="shared" si="2"/>
        <v>0</v>
      </c>
      <c r="I95" s="840">
        <f t="shared" si="3"/>
        <v>14000</v>
      </c>
    </row>
    <row r="96" spans="1:9" s="302" customFormat="1" ht="56.25">
      <c r="A96" s="1071"/>
      <c r="B96" s="475" t="s">
        <v>2381</v>
      </c>
      <c r="C96" s="908">
        <v>7000</v>
      </c>
      <c r="D96" s="908">
        <v>7000</v>
      </c>
      <c r="E96" s="905"/>
      <c r="F96" s="841"/>
      <c r="G96" s="841"/>
      <c r="H96" s="840">
        <f t="shared" si="2"/>
        <v>0</v>
      </c>
      <c r="I96" s="840">
        <f t="shared" si="3"/>
        <v>14000</v>
      </c>
    </row>
    <row r="97" spans="1:9" s="302" customFormat="1" ht="75">
      <c r="A97" s="1071"/>
      <c r="B97" s="475" t="s">
        <v>2382</v>
      </c>
      <c r="C97" s="908">
        <v>7000</v>
      </c>
      <c r="D97" s="908">
        <v>7000</v>
      </c>
      <c r="E97" s="905"/>
      <c r="F97" s="841"/>
      <c r="G97" s="841"/>
      <c r="H97" s="840">
        <f t="shared" si="2"/>
        <v>0</v>
      </c>
      <c r="I97" s="840">
        <f t="shared" si="3"/>
        <v>14000</v>
      </c>
    </row>
    <row r="98" spans="1:9" s="302" customFormat="1" ht="75">
      <c r="A98" s="1071"/>
      <c r="B98" s="475" t="s">
        <v>2383</v>
      </c>
      <c r="C98" s="908">
        <v>7000</v>
      </c>
      <c r="D98" s="908">
        <v>7000</v>
      </c>
      <c r="E98" s="905"/>
      <c r="F98" s="841"/>
      <c r="G98" s="841"/>
      <c r="H98" s="840">
        <f t="shared" si="2"/>
        <v>0</v>
      </c>
      <c r="I98" s="840">
        <f t="shared" si="3"/>
        <v>14000</v>
      </c>
    </row>
    <row r="99" spans="1:9" s="302" customFormat="1" ht="56.25">
      <c r="A99" s="1071"/>
      <c r="B99" s="475" t="s">
        <v>2384</v>
      </c>
      <c r="C99" s="908">
        <v>7000</v>
      </c>
      <c r="D99" s="908">
        <v>7000</v>
      </c>
      <c r="E99" s="905"/>
      <c r="F99" s="841"/>
      <c r="G99" s="841"/>
      <c r="H99" s="840">
        <f t="shared" si="2"/>
        <v>0</v>
      </c>
      <c r="I99" s="840">
        <f t="shared" si="3"/>
        <v>14000</v>
      </c>
    </row>
    <row r="100" spans="1:9" s="302" customFormat="1" ht="75">
      <c r="A100" s="1071"/>
      <c r="B100" s="475" t="s">
        <v>2385</v>
      </c>
      <c r="C100" s="908">
        <v>7000</v>
      </c>
      <c r="D100" s="908">
        <v>7000</v>
      </c>
      <c r="E100" s="905"/>
      <c r="F100" s="841"/>
      <c r="G100" s="841"/>
      <c r="H100" s="840">
        <f t="shared" si="2"/>
        <v>0</v>
      </c>
      <c r="I100" s="840">
        <f t="shared" si="3"/>
        <v>14000</v>
      </c>
    </row>
    <row r="101" spans="1:9" s="302" customFormat="1" ht="75">
      <c r="A101" s="1071"/>
      <c r="B101" s="475" t="s">
        <v>2386</v>
      </c>
      <c r="C101" s="908">
        <v>7000</v>
      </c>
      <c r="D101" s="908">
        <v>7000</v>
      </c>
      <c r="E101" s="905"/>
      <c r="F101" s="841"/>
      <c r="G101" s="841"/>
      <c r="H101" s="840">
        <f t="shared" si="2"/>
        <v>0</v>
      </c>
      <c r="I101" s="840">
        <f t="shared" si="3"/>
        <v>14000</v>
      </c>
    </row>
    <row r="102" spans="1:9" s="302" customFormat="1" ht="75">
      <c r="A102" s="1071"/>
      <c r="B102" s="475" t="s">
        <v>2387</v>
      </c>
      <c r="C102" s="908">
        <v>7000</v>
      </c>
      <c r="D102" s="908">
        <v>7000</v>
      </c>
      <c r="E102" s="905"/>
      <c r="F102" s="841"/>
      <c r="G102" s="841"/>
      <c r="H102" s="840">
        <f t="shared" si="2"/>
        <v>0</v>
      </c>
      <c r="I102" s="840">
        <f t="shared" si="3"/>
        <v>14000</v>
      </c>
    </row>
    <row r="103" spans="1:9" s="302" customFormat="1" ht="75">
      <c r="A103" s="1071"/>
      <c r="B103" s="475" t="s">
        <v>2388</v>
      </c>
      <c r="C103" s="908">
        <v>7000</v>
      </c>
      <c r="D103" s="908">
        <v>7000</v>
      </c>
      <c r="E103" s="905"/>
      <c r="F103" s="841"/>
      <c r="G103" s="841"/>
      <c r="H103" s="840">
        <f t="shared" si="2"/>
        <v>0</v>
      </c>
      <c r="I103" s="840">
        <f t="shared" si="3"/>
        <v>14000</v>
      </c>
    </row>
    <row r="104" spans="1:9" s="302" customFormat="1" ht="75">
      <c r="A104" s="1071"/>
      <c r="B104" s="475" t="s">
        <v>2389</v>
      </c>
      <c r="C104" s="908">
        <v>7000</v>
      </c>
      <c r="D104" s="908">
        <v>7000</v>
      </c>
      <c r="E104" s="905"/>
      <c r="F104" s="841"/>
      <c r="G104" s="841"/>
      <c r="H104" s="840">
        <f t="shared" si="2"/>
        <v>0</v>
      </c>
      <c r="I104" s="840">
        <f t="shared" si="3"/>
        <v>14000</v>
      </c>
    </row>
    <row r="105" spans="1:9" s="302" customFormat="1" ht="112.5">
      <c r="A105" s="1071"/>
      <c r="B105" s="535" t="s">
        <v>1956</v>
      </c>
      <c r="C105" s="914">
        <v>20000</v>
      </c>
      <c r="D105" s="914">
        <v>20000</v>
      </c>
      <c r="E105" s="914"/>
      <c r="F105" s="841"/>
      <c r="G105" s="841"/>
      <c r="H105" s="840">
        <f t="shared" si="2"/>
        <v>0</v>
      </c>
      <c r="I105" s="840">
        <f t="shared" si="3"/>
        <v>40000</v>
      </c>
    </row>
    <row r="106" spans="1:9" s="302" customFormat="1" ht="75">
      <c r="A106" s="1071"/>
      <c r="B106" s="535" t="s">
        <v>1957</v>
      </c>
      <c r="C106" s="908">
        <v>32000</v>
      </c>
      <c r="D106" s="908">
        <v>32000</v>
      </c>
      <c r="E106" s="905"/>
      <c r="F106" s="841"/>
      <c r="G106" s="841"/>
      <c r="H106" s="840">
        <f t="shared" si="2"/>
        <v>0</v>
      </c>
      <c r="I106" s="840">
        <f t="shared" si="3"/>
        <v>64000</v>
      </c>
    </row>
    <row r="107" spans="1:9" s="302" customFormat="1" ht="56.25">
      <c r="A107" s="1071"/>
      <c r="B107" s="475" t="s">
        <v>1958</v>
      </c>
      <c r="C107" s="908">
        <v>47783</v>
      </c>
      <c r="D107" s="908">
        <v>47783</v>
      </c>
      <c r="E107" s="905"/>
      <c r="F107" s="841"/>
      <c r="G107" s="841"/>
      <c r="H107" s="840">
        <f t="shared" si="2"/>
        <v>0</v>
      </c>
      <c r="I107" s="840">
        <f t="shared" si="3"/>
        <v>95566</v>
      </c>
    </row>
    <row r="108" spans="1:9" s="302" customFormat="1" ht="93.75">
      <c r="A108" s="1071"/>
      <c r="B108" s="535" t="s">
        <v>1959</v>
      </c>
      <c r="C108" s="908">
        <v>20000</v>
      </c>
      <c r="D108" s="908"/>
      <c r="E108" s="905">
        <v>20000</v>
      </c>
      <c r="F108" s="841"/>
      <c r="G108" s="841"/>
      <c r="H108" s="840">
        <f t="shared" si="2"/>
        <v>0</v>
      </c>
      <c r="I108" s="840">
        <f t="shared" si="3"/>
        <v>40000</v>
      </c>
    </row>
    <row r="109" spans="1:9" s="302" customFormat="1" ht="37.5">
      <c r="A109" s="1071"/>
      <c r="B109" s="475" t="s">
        <v>2411</v>
      </c>
      <c r="C109" s="905">
        <v>7000</v>
      </c>
      <c r="D109" s="905">
        <v>7000</v>
      </c>
      <c r="E109" s="905"/>
      <c r="F109" s="841"/>
      <c r="G109" s="841"/>
      <c r="H109" s="840">
        <f t="shared" si="2"/>
        <v>0</v>
      </c>
      <c r="I109" s="840">
        <f t="shared" si="3"/>
        <v>14000</v>
      </c>
    </row>
    <row r="110" spans="1:9" s="302" customFormat="1" ht="37.5">
      <c r="A110" s="1071"/>
      <c r="B110" s="475" t="s">
        <v>2392</v>
      </c>
      <c r="C110" s="905">
        <v>7000</v>
      </c>
      <c r="D110" s="905">
        <v>7000</v>
      </c>
      <c r="E110" s="905"/>
      <c r="F110" s="841"/>
      <c r="G110" s="841"/>
      <c r="H110" s="840">
        <f t="shared" si="2"/>
        <v>0</v>
      </c>
      <c r="I110" s="840">
        <f t="shared" si="3"/>
        <v>14000</v>
      </c>
    </row>
    <row r="111" spans="1:9" s="302" customFormat="1" ht="37.5">
      <c r="A111" s="1071"/>
      <c r="B111" s="475" t="s">
        <v>2393</v>
      </c>
      <c r="C111" s="905">
        <v>7000</v>
      </c>
      <c r="D111" s="905">
        <v>7000</v>
      </c>
      <c r="E111" s="905"/>
      <c r="F111" s="841"/>
      <c r="G111" s="841"/>
      <c r="H111" s="840">
        <f t="shared" si="2"/>
        <v>0</v>
      </c>
      <c r="I111" s="840">
        <f t="shared" si="3"/>
        <v>14000</v>
      </c>
    </row>
    <row r="112" spans="1:9" s="302" customFormat="1" ht="37.5">
      <c r="A112" s="1071"/>
      <c r="B112" s="475" t="s">
        <v>2394</v>
      </c>
      <c r="C112" s="905">
        <v>7000</v>
      </c>
      <c r="D112" s="905">
        <v>7000</v>
      </c>
      <c r="E112" s="905"/>
      <c r="F112" s="841"/>
      <c r="G112" s="841"/>
      <c r="H112" s="840">
        <f t="shared" si="2"/>
        <v>0</v>
      </c>
      <c r="I112" s="840">
        <f t="shared" si="3"/>
        <v>14000</v>
      </c>
    </row>
    <row r="113" spans="1:9" s="302" customFormat="1" ht="37.5">
      <c r="A113" s="1071"/>
      <c r="B113" s="475" t="s">
        <v>2395</v>
      </c>
      <c r="C113" s="905">
        <v>7000</v>
      </c>
      <c r="D113" s="905">
        <v>7000</v>
      </c>
      <c r="E113" s="905"/>
      <c r="F113" s="841"/>
      <c r="G113" s="841"/>
      <c r="H113" s="840">
        <f t="shared" si="2"/>
        <v>0</v>
      </c>
      <c r="I113" s="840">
        <f t="shared" si="3"/>
        <v>14000</v>
      </c>
    </row>
    <row r="114" spans="1:9" s="302" customFormat="1" ht="37.5">
      <c r="A114" s="1071"/>
      <c r="B114" s="475" t="s">
        <v>2396</v>
      </c>
      <c r="C114" s="905">
        <v>7000</v>
      </c>
      <c r="D114" s="905">
        <v>7000</v>
      </c>
      <c r="E114" s="905"/>
      <c r="F114" s="841"/>
      <c r="G114" s="841"/>
      <c r="H114" s="840">
        <f t="shared" si="2"/>
        <v>0</v>
      </c>
      <c r="I114" s="840">
        <f t="shared" si="3"/>
        <v>14000</v>
      </c>
    </row>
    <row r="115" spans="1:9" s="302" customFormat="1" ht="37.5">
      <c r="A115" s="1071"/>
      <c r="B115" s="475" t="s">
        <v>2397</v>
      </c>
      <c r="C115" s="905">
        <v>7000</v>
      </c>
      <c r="D115" s="905">
        <v>7000</v>
      </c>
      <c r="E115" s="905"/>
      <c r="F115" s="841"/>
      <c r="G115" s="841"/>
      <c r="H115" s="840">
        <f t="shared" si="2"/>
        <v>0</v>
      </c>
      <c r="I115" s="840">
        <f t="shared" si="3"/>
        <v>14000</v>
      </c>
    </row>
    <row r="116" spans="1:9" s="302" customFormat="1" ht="37.5">
      <c r="A116" s="1071"/>
      <c r="B116" s="475" t="s">
        <v>2398</v>
      </c>
      <c r="C116" s="905">
        <v>7000</v>
      </c>
      <c r="D116" s="905">
        <v>7000</v>
      </c>
      <c r="E116" s="905"/>
      <c r="F116" s="841"/>
      <c r="G116" s="841"/>
      <c r="H116" s="840">
        <f t="shared" si="2"/>
        <v>0</v>
      </c>
      <c r="I116" s="840">
        <f t="shared" si="3"/>
        <v>14000</v>
      </c>
    </row>
    <row r="117" spans="1:9" s="302" customFormat="1" ht="37.5">
      <c r="A117" s="1071"/>
      <c r="B117" s="475" t="s">
        <v>2399</v>
      </c>
      <c r="C117" s="905">
        <v>7000</v>
      </c>
      <c r="D117" s="905">
        <v>7000</v>
      </c>
      <c r="E117" s="905"/>
      <c r="F117" s="841"/>
      <c r="G117" s="841"/>
      <c r="H117" s="840">
        <f t="shared" si="2"/>
        <v>0</v>
      </c>
      <c r="I117" s="840">
        <f t="shared" si="3"/>
        <v>14000</v>
      </c>
    </row>
    <row r="118" spans="1:9" s="302" customFormat="1" ht="37.5">
      <c r="A118" s="1071"/>
      <c r="B118" s="475" t="s">
        <v>2400</v>
      </c>
      <c r="C118" s="905">
        <v>7000</v>
      </c>
      <c r="D118" s="905">
        <v>7000</v>
      </c>
      <c r="E118" s="905"/>
      <c r="F118" s="841"/>
      <c r="G118" s="841"/>
      <c r="H118" s="840">
        <f t="shared" si="2"/>
        <v>0</v>
      </c>
      <c r="I118" s="840">
        <f t="shared" si="3"/>
        <v>14000</v>
      </c>
    </row>
    <row r="119" spans="1:9" s="302" customFormat="1" ht="37.5">
      <c r="A119" s="1071"/>
      <c r="B119" s="475" t="s">
        <v>2401</v>
      </c>
      <c r="C119" s="905">
        <v>7000</v>
      </c>
      <c r="D119" s="905">
        <v>7000</v>
      </c>
      <c r="E119" s="905"/>
      <c r="F119" s="841"/>
      <c r="G119" s="841"/>
      <c r="H119" s="840">
        <f t="shared" si="2"/>
        <v>0</v>
      </c>
      <c r="I119" s="840">
        <f t="shared" si="3"/>
        <v>14000</v>
      </c>
    </row>
    <row r="120" spans="1:9" s="302" customFormat="1" ht="37.5">
      <c r="A120" s="1071"/>
      <c r="B120" s="475" t="s">
        <v>2402</v>
      </c>
      <c r="C120" s="905">
        <v>7000</v>
      </c>
      <c r="D120" s="905">
        <v>7000</v>
      </c>
      <c r="E120" s="905"/>
      <c r="F120" s="841"/>
      <c r="G120" s="841"/>
      <c r="H120" s="840">
        <f t="shared" si="2"/>
        <v>0</v>
      </c>
      <c r="I120" s="840">
        <f t="shared" si="3"/>
        <v>14000</v>
      </c>
    </row>
    <row r="121" spans="1:9" s="302" customFormat="1" ht="37.5">
      <c r="A121" s="1071"/>
      <c r="B121" s="475" t="s">
        <v>2403</v>
      </c>
      <c r="C121" s="905">
        <v>7000</v>
      </c>
      <c r="D121" s="908">
        <v>7000</v>
      </c>
      <c r="E121" s="905"/>
      <c r="F121" s="841"/>
      <c r="G121" s="841"/>
      <c r="H121" s="840">
        <f t="shared" si="2"/>
        <v>0</v>
      </c>
      <c r="I121" s="840">
        <f t="shared" si="3"/>
        <v>14000</v>
      </c>
    </row>
    <row r="122" spans="1:9" s="302" customFormat="1" ht="37.5">
      <c r="A122" s="1071"/>
      <c r="B122" s="475" t="s">
        <v>2404</v>
      </c>
      <c r="C122" s="905">
        <v>7000</v>
      </c>
      <c r="D122" s="908">
        <v>7000</v>
      </c>
      <c r="E122" s="905"/>
      <c r="F122" s="841"/>
      <c r="G122" s="841"/>
      <c r="H122" s="840">
        <f t="shared" si="2"/>
        <v>0</v>
      </c>
      <c r="I122" s="840">
        <f t="shared" si="3"/>
        <v>14000</v>
      </c>
    </row>
    <row r="123" spans="1:9" s="302" customFormat="1" ht="37.5">
      <c r="A123" s="1071"/>
      <c r="B123" s="475" t="s">
        <v>2405</v>
      </c>
      <c r="C123" s="905">
        <v>7000</v>
      </c>
      <c r="D123" s="908">
        <v>7000</v>
      </c>
      <c r="E123" s="905"/>
      <c r="F123" s="841"/>
      <c r="G123" s="841"/>
      <c r="H123" s="840">
        <f t="shared" si="2"/>
        <v>0</v>
      </c>
      <c r="I123" s="840">
        <f t="shared" si="3"/>
        <v>14000</v>
      </c>
    </row>
    <row r="124" spans="1:9" s="302" customFormat="1" ht="37.5">
      <c r="A124" s="1071"/>
      <c r="B124" s="475" t="s">
        <v>2406</v>
      </c>
      <c r="C124" s="905">
        <v>7000</v>
      </c>
      <c r="D124" s="908">
        <v>7000</v>
      </c>
      <c r="E124" s="905"/>
      <c r="F124" s="841"/>
      <c r="G124" s="841"/>
      <c r="H124" s="840">
        <f t="shared" si="2"/>
        <v>0</v>
      </c>
      <c r="I124" s="840">
        <f t="shared" si="3"/>
        <v>14000</v>
      </c>
    </row>
    <row r="125" spans="1:9" s="302" customFormat="1" ht="37.5">
      <c r="A125" s="1071"/>
      <c r="B125" s="475" t="s">
        <v>2407</v>
      </c>
      <c r="C125" s="905">
        <v>7000</v>
      </c>
      <c r="D125" s="908">
        <v>7000</v>
      </c>
      <c r="E125" s="905"/>
      <c r="F125" s="841"/>
      <c r="G125" s="841"/>
      <c r="H125" s="840">
        <f t="shared" si="2"/>
        <v>0</v>
      </c>
      <c r="I125" s="840">
        <f t="shared" si="3"/>
        <v>14000</v>
      </c>
    </row>
    <row r="126" spans="1:9" s="302" customFormat="1" ht="37.5">
      <c r="A126" s="1071"/>
      <c r="B126" s="475" t="s">
        <v>2408</v>
      </c>
      <c r="C126" s="905">
        <v>7000</v>
      </c>
      <c r="D126" s="908">
        <v>7000</v>
      </c>
      <c r="E126" s="905"/>
      <c r="F126" s="841"/>
      <c r="G126" s="841"/>
      <c r="H126" s="840">
        <f t="shared" si="2"/>
        <v>0</v>
      </c>
      <c r="I126" s="840">
        <f t="shared" si="3"/>
        <v>14000</v>
      </c>
    </row>
    <row r="127" spans="1:9" s="302" customFormat="1" ht="37.5">
      <c r="A127" s="1071"/>
      <c r="B127" s="475" t="s">
        <v>2409</v>
      </c>
      <c r="C127" s="905">
        <v>7000</v>
      </c>
      <c r="D127" s="908">
        <v>7000</v>
      </c>
      <c r="E127" s="905"/>
      <c r="F127" s="841"/>
      <c r="G127" s="841"/>
      <c r="H127" s="840">
        <f t="shared" si="2"/>
        <v>0</v>
      </c>
      <c r="I127" s="840">
        <f t="shared" si="3"/>
        <v>14000</v>
      </c>
    </row>
    <row r="128" spans="1:9" s="302" customFormat="1" ht="37.5">
      <c r="A128" s="1071"/>
      <c r="B128" s="475" t="s">
        <v>2410</v>
      </c>
      <c r="C128" s="905">
        <v>7000</v>
      </c>
      <c r="D128" s="908">
        <v>7000</v>
      </c>
      <c r="E128" s="905"/>
      <c r="F128" s="841"/>
      <c r="G128" s="841"/>
      <c r="H128" s="840">
        <f t="shared" si="2"/>
        <v>0</v>
      </c>
      <c r="I128" s="840">
        <f t="shared" si="3"/>
        <v>14000</v>
      </c>
    </row>
    <row r="129" spans="1:9" s="302" customFormat="1" ht="75">
      <c r="A129" s="1071"/>
      <c r="B129" s="535" t="s">
        <v>1960</v>
      </c>
      <c r="C129" s="908">
        <v>20000</v>
      </c>
      <c r="D129" s="908">
        <v>20000</v>
      </c>
      <c r="E129" s="905"/>
      <c r="F129" s="841"/>
      <c r="G129" s="841"/>
      <c r="H129" s="840">
        <f t="shared" si="2"/>
        <v>0</v>
      </c>
      <c r="I129" s="840">
        <f t="shared" si="3"/>
        <v>40000</v>
      </c>
    </row>
    <row r="130" spans="1:9" s="302" customFormat="1" ht="37.5">
      <c r="A130" s="1071"/>
      <c r="B130" s="535" t="s">
        <v>1961</v>
      </c>
      <c r="C130" s="908">
        <v>30000</v>
      </c>
      <c r="D130" s="908">
        <v>30000</v>
      </c>
      <c r="E130" s="905"/>
      <c r="F130" s="841"/>
      <c r="G130" s="841"/>
      <c r="H130" s="840">
        <f t="shared" si="2"/>
        <v>0</v>
      </c>
      <c r="I130" s="840">
        <f t="shared" si="3"/>
        <v>60000</v>
      </c>
    </row>
    <row r="131" spans="1:9" s="302" customFormat="1" ht="112.5">
      <c r="A131" s="1071"/>
      <c r="B131" s="535" t="s">
        <v>1962</v>
      </c>
      <c r="C131" s="914">
        <v>415</v>
      </c>
      <c r="D131" s="914">
        <v>415</v>
      </c>
      <c r="E131" s="914"/>
      <c r="F131" s="841"/>
      <c r="G131" s="841"/>
      <c r="H131" s="840">
        <f t="shared" si="2"/>
        <v>0</v>
      </c>
      <c r="I131" s="840">
        <f t="shared" si="3"/>
        <v>830</v>
      </c>
    </row>
    <row r="132" spans="1:9" s="302" customFormat="1" ht="112.5">
      <c r="A132" s="1071"/>
      <c r="B132" s="535" t="s">
        <v>3172</v>
      </c>
      <c r="C132" s="908">
        <v>3385</v>
      </c>
      <c r="D132" s="908">
        <v>3385</v>
      </c>
      <c r="E132" s="905"/>
      <c r="F132" s="841"/>
      <c r="G132" s="841"/>
      <c r="H132" s="840">
        <f t="shared" si="2"/>
        <v>0</v>
      </c>
      <c r="I132" s="840">
        <f t="shared" si="3"/>
        <v>6770</v>
      </c>
    </row>
    <row r="133" spans="1:9" s="302" customFormat="1" ht="56.25">
      <c r="A133" s="1071"/>
      <c r="B133" s="475" t="s">
        <v>1963</v>
      </c>
      <c r="C133" s="908">
        <v>15000</v>
      </c>
      <c r="D133" s="908">
        <v>15000</v>
      </c>
      <c r="E133" s="905"/>
      <c r="F133" s="841"/>
      <c r="G133" s="841"/>
      <c r="H133" s="840">
        <f t="shared" si="2"/>
        <v>0</v>
      </c>
      <c r="I133" s="840">
        <f t="shared" si="3"/>
        <v>30000</v>
      </c>
    </row>
    <row r="134" spans="1:9" s="302" customFormat="1" ht="75">
      <c r="A134" s="1071"/>
      <c r="B134" s="475" t="s">
        <v>1964</v>
      </c>
      <c r="C134" s="908">
        <v>8000</v>
      </c>
      <c r="D134" s="908">
        <v>8000</v>
      </c>
      <c r="E134" s="905"/>
      <c r="F134" s="841"/>
      <c r="G134" s="841"/>
      <c r="H134" s="840">
        <f t="shared" si="2"/>
        <v>0</v>
      </c>
      <c r="I134" s="840">
        <f t="shared" si="3"/>
        <v>16000</v>
      </c>
    </row>
    <row r="135" spans="1:9" s="302" customFormat="1" ht="93.75">
      <c r="A135" s="1071"/>
      <c r="B135" s="475" t="s">
        <v>1965</v>
      </c>
      <c r="C135" s="905">
        <v>195605</v>
      </c>
      <c r="D135" s="905"/>
      <c r="E135" s="905">
        <v>195605</v>
      </c>
      <c r="F135" s="841"/>
      <c r="G135" s="841"/>
      <c r="H135" s="840">
        <f t="shared" si="2"/>
        <v>0</v>
      </c>
      <c r="I135" s="840">
        <f t="shared" si="3"/>
        <v>391210</v>
      </c>
    </row>
    <row r="136" spans="1:9" s="302" customFormat="1" ht="112.5">
      <c r="A136" s="1071"/>
      <c r="B136" s="475" t="s">
        <v>1966</v>
      </c>
      <c r="C136" s="908">
        <v>10000</v>
      </c>
      <c r="D136" s="908">
        <v>10000</v>
      </c>
      <c r="E136" s="905"/>
      <c r="F136" s="841"/>
      <c r="G136" s="841"/>
      <c r="H136" s="840">
        <f t="shared" si="2"/>
        <v>0</v>
      </c>
      <c r="I136" s="840">
        <f t="shared" si="3"/>
        <v>20000</v>
      </c>
    </row>
    <row r="137" spans="1:9" s="302" customFormat="1" ht="75">
      <c r="A137" s="1071"/>
      <c r="B137" s="475" t="s">
        <v>2640</v>
      </c>
      <c r="C137" s="912">
        <v>14400</v>
      </c>
      <c r="D137" s="912">
        <v>14400</v>
      </c>
      <c r="E137" s="911"/>
      <c r="F137" s="841"/>
      <c r="G137" s="841"/>
      <c r="H137" s="840">
        <f t="shared" ref="H137:H200" si="4">E137+D137-C137</f>
        <v>0</v>
      </c>
      <c r="I137" s="840">
        <f t="shared" ref="I137:I200" si="5">SUM(C137:E137)</f>
        <v>28800</v>
      </c>
    </row>
    <row r="138" spans="1:9" s="302" customFormat="1" ht="93.75">
      <c r="A138" s="1071"/>
      <c r="B138" s="475" t="s">
        <v>2435</v>
      </c>
      <c r="C138" s="908">
        <v>14000</v>
      </c>
      <c r="D138" s="908">
        <v>14000</v>
      </c>
      <c r="E138" s="905"/>
      <c r="F138" s="841"/>
      <c r="G138" s="841"/>
      <c r="H138" s="840">
        <f t="shared" si="4"/>
        <v>0</v>
      </c>
      <c r="I138" s="840">
        <f t="shared" si="5"/>
        <v>28000</v>
      </c>
    </row>
    <row r="139" spans="1:9" s="302" customFormat="1" ht="56.25">
      <c r="A139" s="1071"/>
      <c r="B139" s="535" t="s">
        <v>2436</v>
      </c>
      <c r="C139" s="914">
        <v>20000</v>
      </c>
      <c r="D139" s="914"/>
      <c r="E139" s="914">
        <v>20000</v>
      </c>
      <c r="F139" s="841"/>
      <c r="G139" s="841"/>
      <c r="H139" s="840">
        <f t="shared" si="4"/>
        <v>0</v>
      </c>
      <c r="I139" s="840">
        <f t="shared" si="5"/>
        <v>40000</v>
      </c>
    </row>
    <row r="140" spans="1:9" s="302" customFormat="1" ht="112.5">
      <c r="A140" s="1071"/>
      <c r="B140" s="475" t="s">
        <v>2437</v>
      </c>
      <c r="C140" s="908">
        <v>20000</v>
      </c>
      <c r="D140" s="908">
        <v>20000</v>
      </c>
      <c r="E140" s="905"/>
      <c r="F140" s="841"/>
      <c r="G140" s="841"/>
      <c r="H140" s="840">
        <f t="shared" si="4"/>
        <v>0</v>
      </c>
      <c r="I140" s="840">
        <f t="shared" si="5"/>
        <v>40000</v>
      </c>
    </row>
    <row r="141" spans="1:9" s="302" customFormat="1" ht="37.5">
      <c r="A141" s="1071"/>
      <c r="B141" s="475" t="s">
        <v>2545</v>
      </c>
      <c r="C141" s="905">
        <v>25000</v>
      </c>
      <c r="D141" s="905"/>
      <c r="E141" s="905">
        <v>25000</v>
      </c>
      <c r="F141" s="841"/>
      <c r="G141" s="841"/>
      <c r="H141" s="840">
        <f t="shared" si="4"/>
        <v>0</v>
      </c>
      <c r="I141" s="840">
        <f t="shared" si="5"/>
        <v>50000</v>
      </c>
    </row>
    <row r="142" spans="1:9" s="302" customFormat="1" ht="75">
      <c r="A142" s="1071"/>
      <c r="B142" s="475" t="s">
        <v>2546</v>
      </c>
      <c r="C142" s="905">
        <v>80000</v>
      </c>
      <c r="D142" s="905">
        <v>80000</v>
      </c>
      <c r="E142" s="905"/>
      <c r="F142" s="841"/>
      <c r="G142" s="841"/>
      <c r="H142" s="840">
        <f t="shared" si="4"/>
        <v>0</v>
      </c>
      <c r="I142" s="840">
        <f t="shared" si="5"/>
        <v>160000</v>
      </c>
    </row>
    <row r="143" spans="1:9" s="302" customFormat="1" ht="75">
      <c r="A143" s="1071"/>
      <c r="B143" s="475" t="s">
        <v>2547</v>
      </c>
      <c r="C143" s="905">
        <v>25000</v>
      </c>
      <c r="D143" s="905">
        <v>25000</v>
      </c>
      <c r="E143" s="905"/>
      <c r="F143" s="841"/>
      <c r="G143" s="841"/>
      <c r="H143" s="840">
        <f t="shared" si="4"/>
        <v>0</v>
      </c>
      <c r="I143" s="840">
        <f t="shared" si="5"/>
        <v>50000</v>
      </c>
    </row>
    <row r="144" spans="1:9" s="302" customFormat="1" ht="56.25">
      <c r="A144" s="1071"/>
      <c r="B144" s="475" t="s">
        <v>2548</v>
      </c>
      <c r="C144" s="905">
        <v>20000</v>
      </c>
      <c r="D144" s="905">
        <v>20000</v>
      </c>
      <c r="E144" s="905"/>
      <c r="F144" s="841"/>
      <c r="G144" s="841"/>
      <c r="H144" s="840">
        <f t="shared" si="4"/>
        <v>0</v>
      </c>
      <c r="I144" s="840">
        <f t="shared" si="5"/>
        <v>40000</v>
      </c>
    </row>
    <row r="145" spans="1:9" s="302" customFormat="1" ht="112.5">
      <c r="A145" s="1071"/>
      <c r="B145" s="475" t="s">
        <v>2549</v>
      </c>
      <c r="C145" s="905">
        <v>70000</v>
      </c>
      <c r="D145" s="905"/>
      <c r="E145" s="905">
        <v>70000</v>
      </c>
      <c r="F145" s="841"/>
      <c r="G145" s="841"/>
      <c r="H145" s="840">
        <f t="shared" si="4"/>
        <v>0</v>
      </c>
      <c r="I145" s="840">
        <f t="shared" si="5"/>
        <v>140000</v>
      </c>
    </row>
    <row r="146" spans="1:9" s="302" customFormat="1" ht="37.5">
      <c r="A146" s="1071"/>
      <c r="B146" s="475" t="s">
        <v>2550</v>
      </c>
      <c r="C146" s="905">
        <v>10000</v>
      </c>
      <c r="D146" s="905"/>
      <c r="E146" s="905">
        <v>10000</v>
      </c>
      <c r="F146" s="841"/>
      <c r="G146" s="841"/>
      <c r="H146" s="840">
        <f t="shared" si="4"/>
        <v>0</v>
      </c>
      <c r="I146" s="840">
        <f t="shared" si="5"/>
        <v>20000</v>
      </c>
    </row>
    <row r="147" spans="1:9" s="302" customFormat="1" ht="56.25">
      <c r="A147" s="1071"/>
      <c r="B147" s="475" t="s">
        <v>2551</v>
      </c>
      <c r="C147" s="905">
        <v>10000</v>
      </c>
      <c r="D147" s="905">
        <v>10000</v>
      </c>
      <c r="E147" s="905"/>
      <c r="F147" s="841"/>
      <c r="G147" s="841"/>
      <c r="H147" s="840">
        <f t="shared" si="4"/>
        <v>0</v>
      </c>
      <c r="I147" s="840">
        <f t="shared" si="5"/>
        <v>20000</v>
      </c>
    </row>
    <row r="148" spans="1:9" s="302" customFormat="1" ht="37.5">
      <c r="A148" s="1071"/>
      <c r="B148" s="475" t="s">
        <v>2552</v>
      </c>
      <c r="C148" s="905">
        <v>10000</v>
      </c>
      <c r="D148" s="905">
        <v>10000</v>
      </c>
      <c r="E148" s="905"/>
      <c r="F148" s="841"/>
      <c r="G148" s="841"/>
      <c r="H148" s="840">
        <f t="shared" si="4"/>
        <v>0</v>
      </c>
      <c r="I148" s="840">
        <f t="shared" si="5"/>
        <v>20000</v>
      </c>
    </row>
    <row r="149" spans="1:9" s="302" customFormat="1" ht="37.5">
      <c r="A149" s="1071"/>
      <c r="B149" s="475" t="s">
        <v>2553</v>
      </c>
      <c r="C149" s="905">
        <v>10000</v>
      </c>
      <c r="D149" s="905"/>
      <c r="E149" s="905">
        <v>10000</v>
      </c>
      <c r="F149" s="841"/>
      <c r="G149" s="841"/>
      <c r="H149" s="840">
        <f t="shared" si="4"/>
        <v>0</v>
      </c>
      <c r="I149" s="840">
        <f t="shared" si="5"/>
        <v>20000</v>
      </c>
    </row>
    <row r="150" spans="1:9" s="302" customFormat="1" ht="56.25">
      <c r="A150" s="1071"/>
      <c r="B150" s="475" t="s">
        <v>2554</v>
      </c>
      <c r="C150" s="905">
        <v>10000</v>
      </c>
      <c r="D150" s="905"/>
      <c r="E150" s="905">
        <v>10000</v>
      </c>
      <c r="F150" s="841"/>
      <c r="G150" s="841"/>
      <c r="H150" s="840">
        <f t="shared" si="4"/>
        <v>0</v>
      </c>
      <c r="I150" s="840">
        <f t="shared" si="5"/>
        <v>20000</v>
      </c>
    </row>
    <row r="151" spans="1:9" s="302" customFormat="1" ht="75">
      <c r="A151" s="1071"/>
      <c r="B151" s="475" t="s">
        <v>2555</v>
      </c>
      <c r="C151" s="905">
        <v>20000</v>
      </c>
      <c r="D151" s="905">
        <v>20000</v>
      </c>
      <c r="E151" s="905"/>
      <c r="F151" s="841"/>
      <c r="G151" s="841"/>
      <c r="H151" s="840">
        <f t="shared" si="4"/>
        <v>0</v>
      </c>
      <c r="I151" s="840">
        <f t="shared" si="5"/>
        <v>40000</v>
      </c>
    </row>
    <row r="152" spans="1:9" s="302" customFormat="1" ht="56.25">
      <c r="A152" s="1071"/>
      <c r="B152" s="475" t="s">
        <v>2556</v>
      </c>
      <c r="C152" s="905">
        <v>30000</v>
      </c>
      <c r="D152" s="905"/>
      <c r="E152" s="905">
        <v>30000</v>
      </c>
      <c r="F152" s="841"/>
      <c r="G152" s="841"/>
      <c r="H152" s="840">
        <f t="shared" si="4"/>
        <v>0</v>
      </c>
      <c r="I152" s="840">
        <f t="shared" si="5"/>
        <v>60000</v>
      </c>
    </row>
    <row r="153" spans="1:9" s="302" customFormat="1" ht="56.25">
      <c r="A153" s="1071"/>
      <c r="B153" s="475" t="s">
        <v>2557</v>
      </c>
      <c r="C153" s="905">
        <v>20000</v>
      </c>
      <c r="D153" s="905">
        <v>20000</v>
      </c>
      <c r="E153" s="905"/>
      <c r="F153" s="841"/>
      <c r="G153" s="841"/>
      <c r="H153" s="840">
        <f t="shared" si="4"/>
        <v>0</v>
      </c>
      <c r="I153" s="840">
        <f t="shared" si="5"/>
        <v>40000</v>
      </c>
    </row>
    <row r="154" spans="1:9" s="302" customFormat="1" ht="93.75">
      <c r="A154" s="1071"/>
      <c r="B154" s="475" t="s">
        <v>3199</v>
      </c>
      <c r="C154" s="905">
        <v>50000</v>
      </c>
      <c r="D154" s="905">
        <v>50000</v>
      </c>
      <c r="E154" s="905"/>
      <c r="F154" s="841"/>
      <c r="G154" s="841"/>
      <c r="H154" s="840">
        <f t="shared" si="4"/>
        <v>0</v>
      </c>
      <c r="I154" s="840">
        <f t="shared" si="5"/>
        <v>100000</v>
      </c>
    </row>
    <row r="155" spans="1:9" s="302" customFormat="1" ht="56.25">
      <c r="A155" s="1071"/>
      <c r="B155" s="475" t="s">
        <v>2664</v>
      </c>
      <c r="C155" s="905">
        <v>27000</v>
      </c>
      <c r="D155" s="905">
        <v>27000</v>
      </c>
      <c r="E155" s="905"/>
      <c r="F155" s="841"/>
      <c r="G155" s="841"/>
      <c r="H155" s="840">
        <f t="shared" si="4"/>
        <v>0</v>
      </c>
      <c r="I155" s="840">
        <f t="shared" si="5"/>
        <v>54000</v>
      </c>
    </row>
    <row r="156" spans="1:9" s="302" customFormat="1" ht="37.5">
      <c r="A156" s="1071"/>
      <c r="B156" s="475" t="s">
        <v>2645</v>
      </c>
      <c r="C156" s="908">
        <v>49000</v>
      </c>
      <c r="D156" s="908">
        <v>49000</v>
      </c>
      <c r="E156" s="905"/>
      <c r="F156" s="841"/>
      <c r="G156" s="841"/>
      <c r="H156" s="840">
        <f t="shared" si="4"/>
        <v>0</v>
      </c>
      <c r="I156" s="840">
        <f t="shared" si="5"/>
        <v>98000</v>
      </c>
    </row>
    <row r="157" spans="1:9" s="302" customFormat="1" ht="56.25">
      <c r="A157" s="1071"/>
      <c r="B157" s="475" t="s">
        <v>2646</v>
      </c>
      <c r="C157" s="905">
        <v>15000</v>
      </c>
      <c r="D157" s="905"/>
      <c r="E157" s="905">
        <v>15000</v>
      </c>
      <c r="F157" s="841"/>
      <c r="G157" s="841"/>
      <c r="H157" s="840">
        <f t="shared" si="4"/>
        <v>0</v>
      </c>
      <c r="I157" s="840">
        <f t="shared" si="5"/>
        <v>30000</v>
      </c>
    </row>
    <row r="158" spans="1:9" s="302" customFormat="1" ht="37.5">
      <c r="A158" s="1071"/>
      <c r="B158" s="475" t="s">
        <v>2647</v>
      </c>
      <c r="C158" s="905">
        <v>45000</v>
      </c>
      <c r="D158" s="905">
        <v>45000</v>
      </c>
      <c r="E158" s="905"/>
      <c r="F158" s="841"/>
      <c r="G158" s="841"/>
      <c r="H158" s="840">
        <f t="shared" si="4"/>
        <v>0</v>
      </c>
      <c r="I158" s="840">
        <f t="shared" si="5"/>
        <v>90000</v>
      </c>
    </row>
    <row r="159" spans="1:9" s="302" customFormat="1" ht="56.25">
      <c r="A159" s="1071"/>
      <c r="B159" s="475" t="s">
        <v>2648</v>
      </c>
      <c r="C159" s="908">
        <v>20400</v>
      </c>
      <c r="D159" s="908">
        <v>20400</v>
      </c>
      <c r="E159" s="908"/>
      <c r="F159" s="841"/>
      <c r="G159" s="841"/>
      <c r="H159" s="840">
        <f t="shared" si="4"/>
        <v>0</v>
      </c>
      <c r="I159" s="840">
        <f t="shared" si="5"/>
        <v>40800</v>
      </c>
    </row>
    <row r="160" spans="1:9" s="302" customFormat="1" ht="56.25">
      <c r="A160" s="1071"/>
      <c r="B160" s="475" t="s">
        <v>2649</v>
      </c>
      <c r="C160" s="905">
        <v>40000</v>
      </c>
      <c r="D160" s="906"/>
      <c r="E160" s="906">
        <v>40000</v>
      </c>
      <c r="F160" s="841"/>
      <c r="G160" s="841"/>
      <c r="H160" s="840">
        <f t="shared" si="4"/>
        <v>0</v>
      </c>
      <c r="I160" s="840">
        <f t="shared" si="5"/>
        <v>80000</v>
      </c>
    </row>
    <row r="161" spans="1:9" s="302" customFormat="1" ht="93.75">
      <c r="A161" s="1071"/>
      <c r="B161" s="475" t="s">
        <v>2650</v>
      </c>
      <c r="C161" s="915">
        <v>15000</v>
      </c>
      <c r="D161" s="915">
        <v>15000</v>
      </c>
      <c r="E161" s="914"/>
      <c r="F161" s="841"/>
      <c r="G161" s="841"/>
      <c r="H161" s="840">
        <f t="shared" si="4"/>
        <v>0</v>
      </c>
      <c r="I161" s="840">
        <f t="shared" si="5"/>
        <v>30000</v>
      </c>
    </row>
    <row r="162" spans="1:9" s="302" customFormat="1" ht="56.25">
      <c r="A162" s="1071"/>
      <c r="B162" s="475" t="s">
        <v>2651</v>
      </c>
      <c r="C162" s="905">
        <v>16000</v>
      </c>
      <c r="D162" s="905"/>
      <c r="E162" s="905">
        <v>16000</v>
      </c>
      <c r="F162" s="841"/>
      <c r="G162" s="841"/>
      <c r="H162" s="840">
        <f t="shared" si="4"/>
        <v>0</v>
      </c>
      <c r="I162" s="840">
        <f t="shared" si="5"/>
        <v>32000</v>
      </c>
    </row>
    <row r="163" spans="1:9" s="302" customFormat="1" ht="37.5">
      <c r="A163" s="1071"/>
      <c r="B163" s="535" t="s">
        <v>2652</v>
      </c>
      <c r="C163" s="915">
        <v>5000</v>
      </c>
      <c r="D163" s="915">
        <v>5000</v>
      </c>
      <c r="E163" s="914"/>
      <c r="F163" s="841"/>
      <c r="G163" s="841"/>
      <c r="H163" s="840">
        <f t="shared" si="4"/>
        <v>0</v>
      </c>
      <c r="I163" s="840">
        <f t="shared" si="5"/>
        <v>10000</v>
      </c>
    </row>
    <row r="164" spans="1:9" s="302" customFormat="1" ht="93.75">
      <c r="A164" s="1071"/>
      <c r="B164" s="535" t="s">
        <v>2653</v>
      </c>
      <c r="C164" s="915">
        <v>12000</v>
      </c>
      <c r="D164" s="915">
        <v>12000</v>
      </c>
      <c r="E164" s="914"/>
      <c r="F164" s="841"/>
      <c r="G164" s="841"/>
      <c r="H164" s="840">
        <f t="shared" si="4"/>
        <v>0</v>
      </c>
      <c r="I164" s="840">
        <f t="shared" si="5"/>
        <v>24000</v>
      </c>
    </row>
    <row r="165" spans="1:9" s="302" customFormat="1" ht="37.5">
      <c r="A165" s="1071"/>
      <c r="B165" s="475" t="s">
        <v>2654</v>
      </c>
      <c r="C165" s="905">
        <v>12000</v>
      </c>
      <c r="D165" s="905"/>
      <c r="E165" s="905">
        <v>12000</v>
      </c>
      <c r="F165" s="841"/>
      <c r="G165" s="841"/>
      <c r="H165" s="840">
        <f t="shared" si="4"/>
        <v>0</v>
      </c>
      <c r="I165" s="840">
        <f t="shared" si="5"/>
        <v>24000</v>
      </c>
    </row>
    <row r="166" spans="1:9" s="302" customFormat="1" ht="112.5">
      <c r="A166" s="1071"/>
      <c r="B166" s="535" t="s">
        <v>2655</v>
      </c>
      <c r="C166" s="914">
        <v>44000</v>
      </c>
      <c r="D166" s="914">
        <v>44000</v>
      </c>
      <c r="E166" s="914"/>
      <c r="F166" s="841"/>
      <c r="G166" s="841"/>
      <c r="H166" s="840">
        <f t="shared" si="4"/>
        <v>0</v>
      </c>
      <c r="I166" s="840">
        <f t="shared" si="5"/>
        <v>88000</v>
      </c>
    </row>
    <row r="167" spans="1:9" s="302" customFormat="1" ht="56.25">
      <c r="A167" s="1071"/>
      <c r="B167" s="475" t="s">
        <v>2656</v>
      </c>
      <c r="C167" s="915">
        <v>17000</v>
      </c>
      <c r="D167" s="915">
        <v>17000</v>
      </c>
      <c r="E167" s="914"/>
      <c r="F167" s="841"/>
      <c r="G167" s="841"/>
      <c r="H167" s="840">
        <f t="shared" si="4"/>
        <v>0</v>
      </c>
      <c r="I167" s="840">
        <f t="shared" si="5"/>
        <v>34000</v>
      </c>
    </row>
    <row r="168" spans="1:9" s="302" customFormat="1" ht="75">
      <c r="A168" s="1071"/>
      <c r="B168" s="535" t="s">
        <v>2657</v>
      </c>
      <c r="C168" s="914">
        <v>20000</v>
      </c>
      <c r="D168" s="914">
        <v>20000</v>
      </c>
      <c r="E168" s="914"/>
      <c r="F168" s="841"/>
      <c r="G168" s="841"/>
      <c r="H168" s="840">
        <f t="shared" si="4"/>
        <v>0</v>
      </c>
      <c r="I168" s="840">
        <f t="shared" si="5"/>
        <v>40000</v>
      </c>
    </row>
    <row r="169" spans="1:9" s="302" customFormat="1" ht="93.75">
      <c r="A169" s="1071"/>
      <c r="B169" s="475" t="s">
        <v>2658</v>
      </c>
      <c r="C169" s="908">
        <v>49000</v>
      </c>
      <c r="D169" s="908">
        <v>33000</v>
      </c>
      <c r="E169" s="905">
        <v>16000</v>
      </c>
      <c r="F169" s="841"/>
      <c r="G169" s="841"/>
      <c r="H169" s="840">
        <f t="shared" si="4"/>
        <v>0</v>
      </c>
      <c r="I169" s="840">
        <f t="shared" si="5"/>
        <v>98000</v>
      </c>
    </row>
    <row r="170" spans="1:9" s="302" customFormat="1" ht="93.75">
      <c r="A170" s="1071"/>
      <c r="B170" s="475" t="s">
        <v>2659</v>
      </c>
      <c r="C170" s="908">
        <v>10000</v>
      </c>
      <c r="D170" s="908">
        <v>10000</v>
      </c>
      <c r="E170" s="905"/>
      <c r="F170" s="841"/>
      <c r="G170" s="841"/>
      <c r="H170" s="840">
        <f t="shared" si="4"/>
        <v>0</v>
      </c>
      <c r="I170" s="840">
        <f t="shared" si="5"/>
        <v>20000</v>
      </c>
    </row>
    <row r="171" spans="1:9" s="302" customFormat="1" ht="37.5">
      <c r="A171" s="1071"/>
      <c r="B171" s="475" t="s">
        <v>2660</v>
      </c>
      <c r="C171" s="905">
        <v>30000</v>
      </c>
      <c r="D171" s="905"/>
      <c r="E171" s="905">
        <v>30000</v>
      </c>
      <c r="F171" s="841"/>
      <c r="G171" s="841"/>
      <c r="H171" s="840">
        <f t="shared" si="4"/>
        <v>0</v>
      </c>
      <c r="I171" s="840">
        <f t="shared" si="5"/>
        <v>60000</v>
      </c>
    </row>
    <row r="172" spans="1:9" s="302" customFormat="1" ht="56.25">
      <c r="A172" s="1071"/>
      <c r="B172" s="475" t="s">
        <v>2661</v>
      </c>
      <c r="C172" s="908">
        <v>30000</v>
      </c>
      <c r="D172" s="908"/>
      <c r="E172" s="905">
        <v>30000</v>
      </c>
      <c r="F172" s="841"/>
      <c r="G172" s="841"/>
      <c r="H172" s="840">
        <f t="shared" si="4"/>
        <v>0</v>
      </c>
      <c r="I172" s="840">
        <f t="shared" si="5"/>
        <v>60000</v>
      </c>
    </row>
    <row r="173" spans="1:9" s="302" customFormat="1" ht="56.25">
      <c r="A173" s="1071"/>
      <c r="B173" s="475" t="s">
        <v>2662</v>
      </c>
      <c r="C173" s="908">
        <v>31000</v>
      </c>
      <c r="D173" s="908">
        <v>31000</v>
      </c>
      <c r="E173" s="908"/>
      <c r="F173" s="841"/>
      <c r="G173" s="841"/>
      <c r="H173" s="840">
        <f t="shared" si="4"/>
        <v>0</v>
      </c>
      <c r="I173" s="840">
        <f t="shared" si="5"/>
        <v>62000</v>
      </c>
    </row>
    <row r="174" spans="1:9" s="302" customFormat="1" ht="75">
      <c r="A174" s="1071"/>
      <c r="B174" s="475" t="s">
        <v>2663</v>
      </c>
      <c r="C174" s="908">
        <v>154441</v>
      </c>
      <c r="D174" s="908"/>
      <c r="E174" s="905">
        <v>154441</v>
      </c>
      <c r="F174" s="841"/>
      <c r="G174" s="841"/>
      <c r="H174" s="840">
        <f t="shared" si="4"/>
        <v>0</v>
      </c>
      <c r="I174" s="840">
        <f t="shared" si="5"/>
        <v>308882</v>
      </c>
    </row>
    <row r="175" spans="1:9" s="302" customFormat="1" ht="112.5">
      <c r="A175" s="1071"/>
      <c r="B175" s="475" t="s">
        <v>3139</v>
      </c>
      <c r="C175" s="905">
        <v>50000</v>
      </c>
      <c r="D175" s="905">
        <v>50000</v>
      </c>
      <c r="E175" s="905"/>
      <c r="F175" s="841"/>
      <c r="G175" s="841"/>
      <c r="H175" s="840">
        <f t="shared" si="4"/>
        <v>0</v>
      </c>
      <c r="I175" s="840">
        <f t="shared" si="5"/>
        <v>100000</v>
      </c>
    </row>
    <row r="176" spans="1:9" s="302" customFormat="1" ht="56.25">
      <c r="A176" s="1071"/>
      <c r="B176" s="535" t="s">
        <v>3145</v>
      </c>
      <c r="C176" s="908">
        <v>15000</v>
      </c>
      <c r="D176" s="908">
        <v>15000</v>
      </c>
      <c r="E176" s="905"/>
      <c r="F176" s="841"/>
      <c r="G176" s="841"/>
      <c r="H176" s="840">
        <f t="shared" si="4"/>
        <v>0</v>
      </c>
      <c r="I176" s="840">
        <f t="shared" si="5"/>
        <v>30000</v>
      </c>
    </row>
    <row r="177" spans="1:9" s="302" customFormat="1" ht="37.5">
      <c r="A177" s="1071"/>
      <c r="B177" s="475" t="s">
        <v>3146</v>
      </c>
      <c r="C177" s="905">
        <v>8000</v>
      </c>
      <c r="D177" s="932">
        <v>8000</v>
      </c>
      <c r="E177" s="904"/>
      <c r="F177" s="841"/>
      <c r="G177" s="841"/>
      <c r="H177" s="840">
        <f t="shared" si="4"/>
        <v>0</v>
      </c>
      <c r="I177" s="840">
        <f t="shared" si="5"/>
        <v>16000</v>
      </c>
    </row>
    <row r="178" spans="1:9" s="302" customFormat="1" ht="56.25">
      <c r="A178" s="1071"/>
      <c r="B178" s="475" t="s">
        <v>3147</v>
      </c>
      <c r="C178" s="908">
        <v>1524</v>
      </c>
      <c r="D178" s="908">
        <v>1524</v>
      </c>
      <c r="E178" s="905"/>
      <c r="F178" s="841"/>
      <c r="G178" s="841"/>
      <c r="H178" s="840">
        <f t="shared" si="4"/>
        <v>0</v>
      </c>
      <c r="I178" s="840">
        <f t="shared" si="5"/>
        <v>3048</v>
      </c>
    </row>
    <row r="179" spans="1:9" s="302" customFormat="1" hidden="1">
      <c r="A179" s="1071"/>
      <c r="B179" s="475"/>
      <c r="C179" s="905"/>
      <c r="D179" s="905"/>
      <c r="E179" s="905"/>
      <c r="F179" s="841"/>
      <c r="G179" s="841"/>
      <c r="H179" s="840">
        <f t="shared" si="4"/>
        <v>0</v>
      </c>
      <c r="I179" s="840">
        <f t="shared" si="5"/>
        <v>0</v>
      </c>
    </row>
    <row r="180" spans="1:9" s="302" customFormat="1" hidden="1">
      <c r="A180" s="1071"/>
      <c r="B180" s="475"/>
      <c r="C180" s="905"/>
      <c r="D180" s="905"/>
      <c r="E180" s="905"/>
      <c r="F180" s="841"/>
      <c r="G180" s="841"/>
      <c r="H180" s="840">
        <f t="shared" si="4"/>
        <v>0</v>
      </c>
      <c r="I180" s="840">
        <f t="shared" si="5"/>
        <v>0</v>
      </c>
    </row>
    <row r="181" spans="1:9" s="302" customFormat="1" hidden="1">
      <c r="A181" s="1071"/>
      <c r="B181" s="475"/>
      <c r="C181" s="905"/>
      <c r="D181" s="905"/>
      <c r="E181" s="905"/>
      <c r="F181" s="841"/>
      <c r="G181" s="841"/>
      <c r="H181" s="840">
        <f t="shared" si="4"/>
        <v>0</v>
      </c>
      <c r="I181" s="840">
        <f t="shared" si="5"/>
        <v>0</v>
      </c>
    </row>
    <row r="182" spans="1:9" s="302" customFormat="1" hidden="1">
      <c r="A182" s="1071"/>
      <c r="B182" s="475"/>
      <c r="C182" s="905"/>
      <c r="D182" s="905"/>
      <c r="E182" s="905"/>
      <c r="F182" s="841"/>
      <c r="G182" s="841"/>
      <c r="H182" s="840">
        <f t="shared" si="4"/>
        <v>0</v>
      </c>
      <c r="I182" s="840">
        <f t="shared" si="5"/>
        <v>0</v>
      </c>
    </row>
    <row r="183" spans="1:9" s="302" customFormat="1" hidden="1">
      <c r="A183" s="1071"/>
      <c r="B183" s="475"/>
      <c r="C183" s="905"/>
      <c r="D183" s="905"/>
      <c r="E183" s="905"/>
      <c r="F183" s="841"/>
      <c r="G183" s="841"/>
      <c r="H183" s="840">
        <f t="shared" si="4"/>
        <v>0</v>
      </c>
      <c r="I183" s="840">
        <f t="shared" si="5"/>
        <v>0</v>
      </c>
    </row>
    <row r="184" spans="1:9" s="302" customFormat="1" hidden="1">
      <c r="A184" s="1071"/>
      <c r="B184" s="475"/>
      <c r="C184" s="905"/>
      <c r="D184" s="905"/>
      <c r="E184" s="905"/>
      <c r="F184" s="841"/>
      <c r="G184" s="841"/>
      <c r="H184" s="840">
        <f t="shared" si="4"/>
        <v>0</v>
      </c>
      <c r="I184" s="840">
        <f t="shared" si="5"/>
        <v>0</v>
      </c>
    </row>
    <row r="185" spans="1:9" s="302" customFormat="1" hidden="1">
      <c r="A185" s="1071"/>
      <c r="B185" s="475"/>
      <c r="C185" s="905"/>
      <c r="D185" s="905"/>
      <c r="E185" s="905"/>
      <c r="F185" s="841"/>
      <c r="G185" s="841"/>
      <c r="H185" s="840">
        <f t="shared" si="4"/>
        <v>0</v>
      </c>
      <c r="I185" s="840">
        <f t="shared" si="5"/>
        <v>0</v>
      </c>
    </row>
    <row r="186" spans="1:9" s="302" customFormat="1" hidden="1">
      <c r="A186" s="1071"/>
      <c r="B186" s="475"/>
      <c r="C186" s="905"/>
      <c r="D186" s="905"/>
      <c r="E186" s="905"/>
      <c r="F186" s="841"/>
      <c r="G186" s="841"/>
      <c r="H186" s="840">
        <f t="shared" si="4"/>
        <v>0</v>
      </c>
      <c r="I186" s="840">
        <f t="shared" si="5"/>
        <v>0</v>
      </c>
    </row>
    <row r="187" spans="1:9" s="302" customFormat="1" hidden="1">
      <c r="A187" s="1071"/>
      <c r="B187" s="475"/>
      <c r="C187" s="905"/>
      <c r="D187" s="905"/>
      <c r="E187" s="905"/>
      <c r="F187" s="841"/>
      <c r="G187" s="841"/>
      <c r="H187" s="840">
        <f t="shared" si="4"/>
        <v>0</v>
      </c>
      <c r="I187" s="840">
        <f t="shared" si="5"/>
        <v>0</v>
      </c>
    </row>
    <row r="188" spans="1:9" s="302" customFormat="1" ht="18" hidden="1" customHeight="1">
      <c r="A188" s="1071"/>
      <c r="B188" s="475"/>
      <c r="C188" s="916"/>
      <c r="D188" s="916"/>
      <c r="E188" s="905"/>
      <c r="F188" s="841"/>
      <c r="G188" s="841"/>
      <c r="H188" s="840">
        <f t="shared" si="4"/>
        <v>0</v>
      </c>
      <c r="I188" s="840">
        <f t="shared" si="5"/>
        <v>0</v>
      </c>
    </row>
    <row r="189" spans="1:9" s="302" customFormat="1" ht="18" hidden="1" customHeight="1">
      <c r="A189" s="1071"/>
      <c r="B189" s="475"/>
      <c r="C189" s="916"/>
      <c r="D189" s="916"/>
      <c r="E189" s="905"/>
      <c r="F189" s="841"/>
      <c r="G189" s="841"/>
      <c r="H189" s="840">
        <f t="shared" si="4"/>
        <v>0</v>
      </c>
      <c r="I189" s="840">
        <f t="shared" si="5"/>
        <v>0</v>
      </c>
    </row>
    <row r="190" spans="1:9" s="302" customFormat="1" hidden="1">
      <c r="A190" s="1071"/>
      <c r="B190" s="864"/>
      <c r="C190" s="917"/>
      <c r="D190" s="917"/>
      <c r="E190" s="918"/>
      <c r="F190" s="841"/>
      <c r="G190" s="841"/>
      <c r="H190" s="840">
        <f t="shared" si="4"/>
        <v>0</v>
      </c>
      <c r="I190" s="840">
        <f t="shared" si="5"/>
        <v>0</v>
      </c>
    </row>
    <row r="191" spans="1:9" s="845" customFormat="1">
      <c r="A191" s="1081"/>
      <c r="B191" s="461" t="s">
        <v>253</v>
      </c>
      <c r="C191" s="919">
        <f>SUM(C8:C190)</f>
        <v>6075753</v>
      </c>
      <c r="D191" s="919">
        <f>SUM(D8:D190)</f>
        <v>4542407</v>
      </c>
      <c r="E191" s="919">
        <f>SUM(E8:E190)</f>
        <v>1533346</v>
      </c>
      <c r="F191" s="848">
        <f>SUM(F9:F31)</f>
        <v>0</v>
      </c>
      <c r="G191" s="849">
        <f>SUM(G9:G31)</f>
        <v>0</v>
      </c>
      <c r="H191" s="840">
        <f t="shared" si="4"/>
        <v>0</v>
      </c>
      <c r="I191" s="840">
        <f t="shared" si="5"/>
        <v>12151506</v>
      </c>
    </row>
    <row r="192" spans="1:9" ht="75">
      <c r="A192" s="1081" t="s">
        <v>60</v>
      </c>
      <c r="B192" s="887" t="s">
        <v>952</v>
      </c>
      <c r="C192" s="907">
        <v>91100</v>
      </c>
      <c r="D192" s="530">
        <v>91100</v>
      </c>
      <c r="E192" s="907"/>
      <c r="F192" s="841"/>
      <c r="G192" s="841"/>
      <c r="H192" s="840">
        <f t="shared" si="4"/>
        <v>0</v>
      </c>
      <c r="I192" s="840">
        <f t="shared" si="5"/>
        <v>182200</v>
      </c>
    </row>
    <row r="193" spans="1:9" ht="93.75">
      <c r="A193" s="1081"/>
      <c r="B193" s="535" t="s">
        <v>1079</v>
      </c>
      <c r="C193" s="905">
        <v>65000</v>
      </c>
      <c r="D193" s="905"/>
      <c r="E193" s="905">
        <v>65000</v>
      </c>
      <c r="F193" s="841"/>
      <c r="G193" s="841"/>
      <c r="H193" s="840">
        <f t="shared" si="4"/>
        <v>0</v>
      </c>
      <c r="I193" s="840">
        <f t="shared" si="5"/>
        <v>130000</v>
      </c>
    </row>
    <row r="194" spans="1:9" ht="93.75">
      <c r="A194" s="1081"/>
      <c r="B194" s="535" t="s">
        <v>1080</v>
      </c>
      <c r="C194" s="905">
        <v>50000</v>
      </c>
      <c r="D194" s="905"/>
      <c r="E194" s="905">
        <v>50000</v>
      </c>
      <c r="F194" s="841"/>
      <c r="G194" s="841"/>
      <c r="H194" s="840">
        <f t="shared" si="4"/>
        <v>0</v>
      </c>
      <c r="I194" s="840">
        <f t="shared" si="5"/>
        <v>100000</v>
      </c>
    </row>
    <row r="195" spans="1:9" ht="56.25">
      <c r="A195" s="1081"/>
      <c r="B195" s="475" t="s">
        <v>1120</v>
      </c>
      <c r="C195" s="905">
        <v>49900</v>
      </c>
      <c r="D195" s="905">
        <v>49900</v>
      </c>
      <c r="E195" s="905"/>
      <c r="F195" s="841"/>
      <c r="G195" s="841"/>
      <c r="H195" s="840">
        <f t="shared" si="4"/>
        <v>0</v>
      </c>
      <c r="I195" s="840">
        <f t="shared" si="5"/>
        <v>99800</v>
      </c>
    </row>
    <row r="196" spans="1:9" ht="56.25">
      <c r="A196" s="1081"/>
      <c r="B196" s="475" t="s">
        <v>1174</v>
      </c>
      <c r="C196" s="905">
        <v>15000</v>
      </c>
      <c r="D196" s="905">
        <v>15000</v>
      </c>
      <c r="E196" s="932"/>
      <c r="F196" s="841"/>
      <c r="G196" s="841"/>
      <c r="H196" s="840">
        <f t="shared" si="4"/>
        <v>0</v>
      </c>
      <c r="I196" s="840">
        <f t="shared" si="5"/>
        <v>30000</v>
      </c>
    </row>
    <row r="197" spans="1:9" ht="56.25">
      <c r="A197" s="1081"/>
      <c r="B197" s="475" t="s">
        <v>1175</v>
      </c>
      <c r="C197" s="905">
        <v>2500</v>
      </c>
      <c r="D197" s="905">
        <v>2500</v>
      </c>
      <c r="E197" s="932"/>
      <c r="F197" s="841"/>
      <c r="G197" s="841"/>
      <c r="H197" s="840">
        <f t="shared" si="4"/>
        <v>0</v>
      </c>
      <c r="I197" s="840">
        <f t="shared" si="5"/>
        <v>5000</v>
      </c>
    </row>
    <row r="198" spans="1:9" ht="56.25">
      <c r="A198" s="1081"/>
      <c r="B198" s="475" t="s">
        <v>1176</v>
      </c>
      <c r="C198" s="905">
        <v>13500</v>
      </c>
      <c r="D198" s="905">
        <v>5761</v>
      </c>
      <c r="E198" s="932">
        <v>7739</v>
      </c>
      <c r="F198" s="841"/>
      <c r="G198" s="841"/>
      <c r="H198" s="840">
        <f t="shared" si="4"/>
        <v>0</v>
      </c>
      <c r="I198" s="840">
        <f t="shared" si="5"/>
        <v>27000</v>
      </c>
    </row>
    <row r="199" spans="1:9" ht="93.75">
      <c r="A199" s="1081"/>
      <c r="B199" s="475" t="s">
        <v>1177</v>
      </c>
      <c r="C199" s="905">
        <v>35420</v>
      </c>
      <c r="D199" s="905">
        <v>25420</v>
      </c>
      <c r="E199" s="932">
        <v>10000</v>
      </c>
      <c r="F199" s="841"/>
      <c r="G199" s="841"/>
      <c r="H199" s="840">
        <f t="shared" si="4"/>
        <v>0</v>
      </c>
      <c r="I199" s="840">
        <f t="shared" si="5"/>
        <v>70840</v>
      </c>
    </row>
    <row r="200" spans="1:9" ht="75">
      <c r="A200" s="1081"/>
      <c r="B200" s="475" t="s">
        <v>1178</v>
      </c>
      <c r="C200" s="905">
        <v>30000</v>
      </c>
      <c r="D200" s="905"/>
      <c r="E200" s="932">
        <v>30000</v>
      </c>
      <c r="F200" s="841"/>
      <c r="G200" s="841"/>
      <c r="H200" s="840">
        <f t="shared" si="4"/>
        <v>0</v>
      </c>
      <c r="I200" s="840">
        <f t="shared" si="5"/>
        <v>60000</v>
      </c>
    </row>
    <row r="201" spans="1:9" ht="75">
      <c r="A201" s="1081"/>
      <c r="B201" s="475" t="s">
        <v>1179</v>
      </c>
      <c r="C201" s="905">
        <v>11000</v>
      </c>
      <c r="D201" s="905"/>
      <c r="E201" s="932">
        <v>11000</v>
      </c>
      <c r="F201" s="841"/>
      <c r="G201" s="841"/>
      <c r="H201" s="840">
        <f t="shared" ref="H201:H264" si="6">E201+D201-C201</f>
        <v>0</v>
      </c>
      <c r="I201" s="840">
        <f t="shared" ref="I201:I264" si="7">SUM(C201:E201)</f>
        <v>22000</v>
      </c>
    </row>
    <row r="202" spans="1:9" ht="75">
      <c r="A202" s="1081"/>
      <c r="B202" s="475" t="s">
        <v>1180</v>
      </c>
      <c r="C202" s="905">
        <v>4000</v>
      </c>
      <c r="D202" s="905">
        <v>4000</v>
      </c>
      <c r="E202" s="932"/>
      <c r="F202" s="841"/>
      <c r="G202" s="841"/>
      <c r="H202" s="840">
        <f t="shared" si="6"/>
        <v>0</v>
      </c>
      <c r="I202" s="840">
        <f t="shared" si="7"/>
        <v>8000</v>
      </c>
    </row>
    <row r="203" spans="1:9" ht="75">
      <c r="A203" s="1081"/>
      <c r="B203" s="475" t="s">
        <v>1181</v>
      </c>
      <c r="C203" s="905">
        <v>14500</v>
      </c>
      <c r="D203" s="905"/>
      <c r="E203" s="932">
        <v>14500</v>
      </c>
      <c r="F203" s="841"/>
      <c r="G203" s="841"/>
      <c r="H203" s="840">
        <f t="shared" si="6"/>
        <v>0</v>
      </c>
      <c r="I203" s="840">
        <f t="shared" si="7"/>
        <v>29000</v>
      </c>
    </row>
    <row r="204" spans="1:9" ht="93.75">
      <c r="A204" s="1081"/>
      <c r="B204" s="475" t="s">
        <v>1182</v>
      </c>
      <c r="C204" s="530">
        <v>76300</v>
      </c>
      <c r="D204" s="530"/>
      <c r="E204" s="530">
        <v>76300</v>
      </c>
      <c r="F204" s="841"/>
      <c r="G204" s="841"/>
      <c r="H204" s="840">
        <f t="shared" si="6"/>
        <v>0</v>
      </c>
      <c r="I204" s="840">
        <f t="shared" si="7"/>
        <v>152600</v>
      </c>
    </row>
    <row r="205" spans="1:9" ht="93.75">
      <c r="A205" s="1081"/>
      <c r="B205" s="475" t="s">
        <v>1183</v>
      </c>
      <c r="C205" s="530">
        <v>40000</v>
      </c>
      <c r="D205" s="530"/>
      <c r="E205" s="905">
        <v>40000</v>
      </c>
      <c r="F205" s="841"/>
      <c r="G205" s="841"/>
      <c r="H205" s="840">
        <f t="shared" si="6"/>
        <v>0</v>
      </c>
      <c r="I205" s="840">
        <f t="shared" si="7"/>
        <v>80000</v>
      </c>
    </row>
    <row r="206" spans="1:9" ht="75">
      <c r="A206" s="1081"/>
      <c r="B206" s="475" t="s">
        <v>1184</v>
      </c>
      <c r="C206" s="530">
        <v>30000</v>
      </c>
      <c r="D206" s="530"/>
      <c r="E206" s="905">
        <v>30000</v>
      </c>
      <c r="F206" s="841"/>
      <c r="G206" s="841"/>
      <c r="H206" s="840">
        <f t="shared" si="6"/>
        <v>0</v>
      </c>
      <c r="I206" s="840">
        <f t="shared" si="7"/>
        <v>60000</v>
      </c>
    </row>
    <row r="207" spans="1:9" ht="37.5">
      <c r="A207" s="1081"/>
      <c r="B207" s="475" t="s">
        <v>1185</v>
      </c>
      <c r="C207" s="530">
        <v>126000</v>
      </c>
      <c r="D207" s="530"/>
      <c r="E207" s="905">
        <v>126000</v>
      </c>
      <c r="F207" s="841"/>
      <c r="G207" s="841"/>
      <c r="H207" s="840">
        <f t="shared" si="6"/>
        <v>0</v>
      </c>
      <c r="I207" s="840">
        <f t="shared" si="7"/>
        <v>252000</v>
      </c>
    </row>
    <row r="208" spans="1:9" ht="131.25">
      <c r="A208" s="1081"/>
      <c r="B208" s="475" t="s">
        <v>1186</v>
      </c>
      <c r="C208" s="530">
        <v>20000</v>
      </c>
      <c r="D208" s="530"/>
      <c r="E208" s="905">
        <v>20000</v>
      </c>
      <c r="F208" s="841"/>
      <c r="G208" s="841"/>
      <c r="H208" s="840">
        <f t="shared" si="6"/>
        <v>0</v>
      </c>
      <c r="I208" s="840">
        <f t="shared" si="7"/>
        <v>40000</v>
      </c>
    </row>
    <row r="209" spans="1:9" ht="56.25">
      <c r="A209" s="1081"/>
      <c r="B209" s="475" t="s">
        <v>1187</v>
      </c>
      <c r="C209" s="530">
        <v>7000</v>
      </c>
      <c r="D209" s="530">
        <v>7000</v>
      </c>
      <c r="E209" s="905"/>
      <c r="F209" s="841"/>
      <c r="G209" s="841"/>
      <c r="H209" s="840">
        <f t="shared" si="6"/>
        <v>0</v>
      </c>
      <c r="I209" s="840">
        <f t="shared" si="7"/>
        <v>14000</v>
      </c>
    </row>
    <row r="210" spans="1:9" ht="56.25">
      <c r="A210" s="1081"/>
      <c r="B210" s="475" t="s">
        <v>1188</v>
      </c>
      <c r="C210" s="530">
        <v>10000</v>
      </c>
      <c r="D210" s="530"/>
      <c r="E210" s="905">
        <v>10000</v>
      </c>
      <c r="F210" s="841"/>
      <c r="G210" s="841"/>
      <c r="H210" s="840">
        <f t="shared" si="6"/>
        <v>0</v>
      </c>
      <c r="I210" s="840">
        <f t="shared" si="7"/>
        <v>20000</v>
      </c>
    </row>
    <row r="211" spans="1:9" ht="56.25">
      <c r="A211" s="1081"/>
      <c r="B211" s="475" t="s">
        <v>1189</v>
      </c>
      <c r="C211" s="530">
        <v>10000</v>
      </c>
      <c r="D211" s="530"/>
      <c r="E211" s="905">
        <v>10000</v>
      </c>
      <c r="F211" s="841"/>
      <c r="G211" s="841"/>
      <c r="H211" s="840">
        <f t="shared" si="6"/>
        <v>0</v>
      </c>
      <c r="I211" s="840">
        <f t="shared" si="7"/>
        <v>20000</v>
      </c>
    </row>
    <row r="212" spans="1:9" ht="56.25">
      <c r="A212" s="1081"/>
      <c r="B212" s="475" t="s">
        <v>1190</v>
      </c>
      <c r="C212" s="530">
        <v>5000</v>
      </c>
      <c r="D212" s="530">
        <v>5000</v>
      </c>
      <c r="E212" s="905"/>
      <c r="F212" s="841"/>
      <c r="G212" s="841"/>
      <c r="H212" s="840">
        <f t="shared" si="6"/>
        <v>0</v>
      </c>
      <c r="I212" s="840">
        <f t="shared" si="7"/>
        <v>10000</v>
      </c>
    </row>
    <row r="213" spans="1:9" ht="56.25">
      <c r="A213" s="1081"/>
      <c r="B213" s="475" t="s">
        <v>1191</v>
      </c>
      <c r="C213" s="530">
        <v>10000</v>
      </c>
      <c r="D213" s="530">
        <v>10000</v>
      </c>
      <c r="E213" s="905"/>
      <c r="F213" s="841"/>
      <c r="G213" s="841"/>
      <c r="H213" s="840">
        <f t="shared" si="6"/>
        <v>0</v>
      </c>
      <c r="I213" s="840">
        <f t="shared" si="7"/>
        <v>20000</v>
      </c>
    </row>
    <row r="214" spans="1:9" ht="75">
      <c r="A214" s="1081"/>
      <c r="B214" s="475" t="s">
        <v>1192</v>
      </c>
      <c r="C214" s="530">
        <v>30000</v>
      </c>
      <c r="D214" s="530">
        <v>30000</v>
      </c>
      <c r="E214" s="905"/>
      <c r="F214" s="841"/>
      <c r="G214" s="841"/>
      <c r="H214" s="840">
        <f t="shared" si="6"/>
        <v>0</v>
      </c>
      <c r="I214" s="840">
        <f t="shared" si="7"/>
        <v>60000</v>
      </c>
    </row>
    <row r="215" spans="1:9" ht="56.25">
      <c r="A215" s="1081"/>
      <c r="B215" s="475" t="s">
        <v>1193</v>
      </c>
      <c r="C215" s="530">
        <v>40000</v>
      </c>
      <c r="D215" s="530"/>
      <c r="E215" s="905">
        <v>40000</v>
      </c>
      <c r="F215" s="841"/>
      <c r="G215" s="841"/>
      <c r="H215" s="840">
        <f t="shared" si="6"/>
        <v>0</v>
      </c>
      <c r="I215" s="840">
        <f t="shared" si="7"/>
        <v>80000</v>
      </c>
    </row>
    <row r="216" spans="1:9" ht="56.25">
      <c r="A216" s="1081"/>
      <c r="B216" s="475" t="s">
        <v>1194</v>
      </c>
      <c r="C216" s="530">
        <v>5500</v>
      </c>
      <c r="D216" s="530">
        <v>5500</v>
      </c>
      <c r="E216" s="905"/>
      <c r="F216" s="841"/>
      <c r="G216" s="841"/>
      <c r="H216" s="840">
        <f t="shared" si="6"/>
        <v>0</v>
      </c>
      <c r="I216" s="840">
        <f t="shared" si="7"/>
        <v>11000</v>
      </c>
    </row>
    <row r="217" spans="1:9" ht="56.25">
      <c r="A217" s="1081"/>
      <c r="B217" s="475" t="s">
        <v>1195</v>
      </c>
      <c r="C217" s="530">
        <v>12000</v>
      </c>
      <c r="D217" s="530"/>
      <c r="E217" s="905">
        <v>12000</v>
      </c>
      <c r="F217" s="841"/>
      <c r="G217" s="841"/>
      <c r="H217" s="840">
        <f t="shared" si="6"/>
        <v>0</v>
      </c>
      <c r="I217" s="840">
        <f t="shared" si="7"/>
        <v>24000</v>
      </c>
    </row>
    <row r="218" spans="1:9" ht="93.75">
      <c r="A218" s="1081"/>
      <c r="B218" s="475" t="s">
        <v>1196</v>
      </c>
      <c r="C218" s="530">
        <v>65000</v>
      </c>
      <c r="D218" s="530"/>
      <c r="E218" s="905">
        <v>65000</v>
      </c>
      <c r="F218" s="841"/>
      <c r="G218" s="841"/>
      <c r="H218" s="840">
        <f t="shared" si="6"/>
        <v>0</v>
      </c>
      <c r="I218" s="840">
        <f t="shared" si="7"/>
        <v>130000</v>
      </c>
    </row>
    <row r="219" spans="1:9" ht="75" hidden="1">
      <c r="A219" s="1081"/>
      <c r="B219" s="475" t="s">
        <v>1197</v>
      </c>
      <c r="C219" s="530">
        <f>12000-12000</f>
        <v>0</v>
      </c>
      <c r="D219" s="530"/>
      <c r="E219" s="905">
        <f>12000-12000</f>
        <v>0</v>
      </c>
      <c r="F219" s="841"/>
      <c r="G219" s="841"/>
      <c r="H219" s="840">
        <f t="shared" si="6"/>
        <v>0</v>
      </c>
      <c r="I219" s="840">
        <f t="shared" si="7"/>
        <v>0</v>
      </c>
    </row>
    <row r="220" spans="1:9" ht="75">
      <c r="A220" s="1081"/>
      <c r="B220" s="475" t="s">
        <v>1815</v>
      </c>
      <c r="C220" s="908">
        <v>12000</v>
      </c>
      <c r="D220" s="908">
        <v>12000</v>
      </c>
      <c r="E220" s="905"/>
      <c r="F220" s="841"/>
      <c r="G220" s="841"/>
      <c r="H220" s="840">
        <f t="shared" si="6"/>
        <v>0</v>
      </c>
      <c r="I220" s="840">
        <f t="shared" si="7"/>
        <v>24000</v>
      </c>
    </row>
    <row r="221" spans="1:9" ht="56.25">
      <c r="A221" s="1081"/>
      <c r="B221" s="475" t="s">
        <v>1198</v>
      </c>
      <c r="C221" s="530">
        <v>30000</v>
      </c>
      <c r="D221" s="530"/>
      <c r="E221" s="905">
        <v>30000</v>
      </c>
      <c r="F221" s="841"/>
      <c r="G221" s="841"/>
      <c r="H221" s="840">
        <f t="shared" si="6"/>
        <v>0</v>
      </c>
      <c r="I221" s="840">
        <f t="shared" si="7"/>
        <v>60000</v>
      </c>
    </row>
    <row r="222" spans="1:9" ht="112.5">
      <c r="A222" s="1081"/>
      <c r="B222" s="475" t="s">
        <v>1763</v>
      </c>
      <c r="C222" s="908">
        <v>8578</v>
      </c>
      <c r="D222" s="908">
        <v>2498</v>
      </c>
      <c r="E222" s="905">
        <v>6080</v>
      </c>
      <c r="F222" s="841"/>
      <c r="G222" s="841"/>
      <c r="H222" s="840">
        <f t="shared" si="6"/>
        <v>0</v>
      </c>
      <c r="I222" s="840">
        <f t="shared" si="7"/>
        <v>17156</v>
      </c>
    </row>
    <row r="223" spans="1:9" ht="56.25">
      <c r="A223" s="1081"/>
      <c r="B223" s="475" t="s">
        <v>1764</v>
      </c>
      <c r="C223" s="908">
        <v>40000</v>
      </c>
      <c r="D223" s="908">
        <v>40000</v>
      </c>
      <c r="E223" s="905"/>
      <c r="F223" s="841"/>
      <c r="G223" s="841"/>
      <c r="H223" s="840">
        <f t="shared" si="6"/>
        <v>0</v>
      </c>
      <c r="I223" s="840">
        <f t="shared" si="7"/>
        <v>80000</v>
      </c>
    </row>
    <row r="224" spans="1:9" ht="75">
      <c r="A224" s="1081"/>
      <c r="B224" s="475" t="s">
        <v>1765</v>
      </c>
      <c r="C224" s="908">
        <v>7000</v>
      </c>
      <c r="D224" s="908">
        <v>7000</v>
      </c>
      <c r="E224" s="905"/>
      <c r="F224" s="841"/>
      <c r="G224" s="841"/>
      <c r="H224" s="840">
        <f t="shared" si="6"/>
        <v>0</v>
      </c>
      <c r="I224" s="840">
        <f t="shared" si="7"/>
        <v>14000</v>
      </c>
    </row>
    <row r="225" spans="1:9" ht="37.5">
      <c r="A225" s="1081"/>
      <c r="B225" s="475" t="s">
        <v>1766</v>
      </c>
      <c r="C225" s="908">
        <v>200000</v>
      </c>
      <c r="D225" s="908"/>
      <c r="E225" s="905">
        <v>200000</v>
      </c>
      <c r="F225" s="841"/>
      <c r="G225" s="841"/>
      <c r="H225" s="840">
        <f t="shared" si="6"/>
        <v>0</v>
      </c>
      <c r="I225" s="840">
        <f t="shared" si="7"/>
        <v>400000</v>
      </c>
    </row>
    <row r="226" spans="1:9" ht="131.25">
      <c r="A226" s="1081"/>
      <c r="B226" s="475" t="s">
        <v>1881</v>
      </c>
      <c r="C226" s="911">
        <v>40000</v>
      </c>
      <c r="D226" s="911"/>
      <c r="E226" s="911">
        <v>40000</v>
      </c>
      <c r="F226" s="841"/>
      <c r="G226" s="841"/>
      <c r="H226" s="840">
        <f t="shared" si="6"/>
        <v>0</v>
      </c>
      <c r="I226" s="840">
        <f t="shared" si="7"/>
        <v>80000</v>
      </c>
    </row>
    <row r="227" spans="1:9" ht="93.75">
      <c r="A227" s="1081"/>
      <c r="B227" s="475" t="s">
        <v>1882</v>
      </c>
      <c r="C227" s="911">
        <v>50000</v>
      </c>
      <c r="D227" s="911"/>
      <c r="E227" s="911">
        <v>50000</v>
      </c>
      <c r="F227" s="841"/>
      <c r="G227" s="841"/>
      <c r="H227" s="840">
        <f t="shared" si="6"/>
        <v>0</v>
      </c>
      <c r="I227" s="840">
        <f t="shared" si="7"/>
        <v>100000</v>
      </c>
    </row>
    <row r="228" spans="1:9" ht="37.5">
      <c r="A228" s="1081"/>
      <c r="B228" s="475" t="s">
        <v>1883</v>
      </c>
      <c r="C228" s="911">
        <v>80000</v>
      </c>
      <c r="D228" s="911"/>
      <c r="E228" s="911">
        <v>80000</v>
      </c>
      <c r="F228" s="841"/>
      <c r="G228" s="841"/>
      <c r="H228" s="840">
        <f t="shared" si="6"/>
        <v>0</v>
      </c>
      <c r="I228" s="840">
        <f t="shared" si="7"/>
        <v>160000</v>
      </c>
    </row>
    <row r="229" spans="1:9" ht="37.5">
      <c r="A229" s="1081"/>
      <c r="B229" s="475" t="s">
        <v>1884</v>
      </c>
      <c r="C229" s="911">
        <v>80000</v>
      </c>
      <c r="D229" s="911"/>
      <c r="E229" s="911">
        <v>80000</v>
      </c>
      <c r="F229" s="841"/>
      <c r="G229" s="841"/>
      <c r="H229" s="840">
        <f t="shared" si="6"/>
        <v>0</v>
      </c>
      <c r="I229" s="840">
        <f t="shared" si="7"/>
        <v>160000</v>
      </c>
    </row>
    <row r="230" spans="1:9" ht="75">
      <c r="A230" s="1081"/>
      <c r="B230" s="475" t="s">
        <v>1885</v>
      </c>
      <c r="C230" s="911">
        <v>50000</v>
      </c>
      <c r="D230" s="911"/>
      <c r="E230" s="911">
        <v>50000</v>
      </c>
      <c r="F230" s="841"/>
      <c r="G230" s="841"/>
      <c r="H230" s="840">
        <f t="shared" si="6"/>
        <v>0</v>
      </c>
      <c r="I230" s="840">
        <f t="shared" si="7"/>
        <v>100000</v>
      </c>
    </row>
    <row r="231" spans="1:9" ht="93.75">
      <c r="A231" s="1081"/>
      <c r="B231" s="475" t="s">
        <v>1886</v>
      </c>
      <c r="C231" s="911">
        <v>50000</v>
      </c>
      <c r="D231" s="911"/>
      <c r="E231" s="911">
        <v>50000</v>
      </c>
      <c r="F231" s="841"/>
      <c r="G231" s="841"/>
      <c r="H231" s="840">
        <f t="shared" si="6"/>
        <v>0</v>
      </c>
      <c r="I231" s="840">
        <f t="shared" si="7"/>
        <v>100000</v>
      </c>
    </row>
    <row r="232" spans="1:9" ht="37.5">
      <c r="A232" s="1081"/>
      <c r="B232" s="475" t="s">
        <v>1967</v>
      </c>
      <c r="C232" s="908">
        <v>10000</v>
      </c>
      <c r="D232" s="908">
        <v>10000</v>
      </c>
      <c r="E232" s="905"/>
      <c r="F232" s="841"/>
      <c r="G232" s="841"/>
      <c r="H232" s="840">
        <f t="shared" si="6"/>
        <v>0</v>
      </c>
      <c r="I232" s="840">
        <f t="shared" si="7"/>
        <v>20000</v>
      </c>
    </row>
    <row r="233" spans="1:9" ht="37.5">
      <c r="A233" s="1081"/>
      <c r="B233" s="475" t="s">
        <v>1968</v>
      </c>
      <c r="C233" s="908">
        <v>2000</v>
      </c>
      <c r="D233" s="908">
        <v>2000</v>
      </c>
      <c r="E233" s="905"/>
      <c r="F233" s="841"/>
      <c r="G233" s="841"/>
      <c r="H233" s="840">
        <f t="shared" si="6"/>
        <v>0</v>
      </c>
      <c r="I233" s="840">
        <f t="shared" si="7"/>
        <v>4000</v>
      </c>
    </row>
    <row r="234" spans="1:9" ht="56.25">
      <c r="A234" s="1081"/>
      <c r="B234" s="475" t="s">
        <v>1969</v>
      </c>
      <c r="C234" s="905">
        <v>200000</v>
      </c>
      <c r="D234" s="905"/>
      <c r="E234" s="905">
        <v>200000</v>
      </c>
      <c r="F234" s="841"/>
      <c r="G234" s="841"/>
      <c r="H234" s="840">
        <f t="shared" si="6"/>
        <v>0</v>
      </c>
      <c r="I234" s="840">
        <f t="shared" si="7"/>
        <v>400000</v>
      </c>
    </row>
    <row r="235" spans="1:9" ht="112.5">
      <c r="A235" s="1081"/>
      <c r="B235" s="475" t="s">
        <v>1970</v>
      </c>
      <c r="C235" s="914">
        <v>17000</v>
      </c>
      <c r="D235" s="905"/>
      <c r="E235" s="905">
        <v>17000</v>
      </c>
      <c r="F235" s="841"/>
      <c r="G235" s="841"/>
      <c r="H235" s="840">
        <f t="shared" si="6"/>
        <v>0</v>
      </c>
      <c r="I235" s="840">
        <f t="shared" si="7"/>
        <v>34000</v>
      </c>
    </row>
    <row r="236" spans="1:9" ht="75">
      <c r="A236" s="1081"/>
      <c r="B236" s="475" t="s">
        <v>1971</v>
      </c>
      <c r="C236" s="914">
        <v>13000</v>
      </c>
      <c r="D236" s="905">
        <v>3000</v>
      </c>
      <c r="E236" s="905">
        <v>10000</v>
      </c>
      <c r="F236" s="841"/>
      <c r="G236" s="841"/>
      <c r="H236" s="840">
        <f t="shared" si="6"/>
        <v>0</v>
      </c>
      <c r="I236" s="840">
        <f t="shared" si="7"/>
        <v>26000</v>
      </c>
    </row>
    <row r="237" spans="1:9" ht="75">
      <c r="A237" s="1081"/>
      <c r="B237" s="475" t="s">
        <v>1972</v>
      </c>
      <c r="C237" s="914">
        <v>12000</v>
      </c>
      <c r="D237" s="905">
        <v>12000</v>
      </c>
      <c r="E237" s="905"/>
      <c r="F237" s="841"/>
      <c r="G237" s="841"/>
      <c r="H237" s="840">
        <f t="shared" si="6"/>
        <v>0</v>
      </c>
      <c r="I237" s="840">
        <f t="shared" si="7"/>
        <v>24000</v>
      </c>
    </row>
    <row r="238" spans="1:9" ht="75">
      <c r="A238" s="1081"/>
      <c r="B238" s="475" t="s">
        <v>1973</v>
      </c>
      <c r="C238" s="905">
        <v>15000</v>
      </c>
      <c r="D238" s="905">
        <v>15000</v>
      </c>
      <c r="E238" s="905"/>
      <c r="F238" s="841"/>
      <c r="G238" s="841"/>
      <c r="H238" s="840">
        <f t="shared" si="6"/>
        <v>0</v>
      </c>
      <c r="I238" s="840">
        <f t="shared" si="7"/>
        <v>30000</v>
      </c>
    </row>
    <row r="239" spans="1:9" ht="112.5">
      <c r="A239" s="1081"/>
      <c r="B239" s="475" t="s">
        <v>1974</v>
      </c>
      <c r="C239" s="905">
        <v>20000</v>
      </c>
      <c r="D239" s="905"/>
      <c r="E239" s="905">
        <v>20000</v>
      </c>
      <c r="F239" s="841"/>
      <c r="G239" s="841"/>
      <c r="H239" s="840">
        <f t="shared" si="6"/>
        <v>0</v>
      </c>
      <c r="I239" s="840">
        <f t="shared" si="7"/>
        <v>40000</v>
      </c>
    </row>
    <row r="240" spans="1:9" ht="93.75">
      <c r="A240" s="1081"/>
      <c r="B240" s="475" t="s">
        <v>1975</v>
      </c>
      <c r="C240" s="905">
        <v>22170</v>
      </c>
      <c r="D240" s="905"/>
      <c r="E240" s="905">
        <v>22170</v>
      </c>
      <c r="F240" s="841"/>
      <c r="G240" s="841"/>
      <c r="H240" s="840">
        <f t="shared" si="6"/>
        <v>0</v>
      </c>
      <c r="I240" s="840">
        <f t="shared" si="7"/>
        <v>44340</v>
      </c>
    </row>
    <row r="241" spans="1:9" ht="93.75">
      <c r="A241" s="1081"/>
      <c r="B241" s="475" t="s">
        <v>1976</v>
      </c>
      <c r="C241" s="905">
        <v>35000</v>
      </c>
      <c r="D241" s="908"/>
      <c r="E241" s="905">
        <v>35000</v>
      </c>
      <c r="F241" s="841"/>
      <c r="G241" s="841"/>
      <c r="H241" s="840">
        <f t="shared" si="6"/>
        <v>0</v>
      </c>
      <c r="I241" s="840">
        <f t="shared" si="7"/>
        <v>70000</v>
      </c>
    </row>
    <row r="242" spans="1:9" ht="93.75">
      <c r="A242" s="1081"/>
      <c r="B242" s="475" t="s">
        <v>1977</v>
      </c>
      <c r="C242" s="905">
        <v>20000</v>
      </c>
      <c r="D242" s="908">
        <v>20000</v>
      </c>
      <c r="E242" s="905"/>
      <c r="F242" s="841"/>
      <c r="G242" s="841"/>
      <c r="H242" s="840">
        <f t="shared" si="6"/>
        <v>0</v>
      </c>
      <c r="I242" s="840">
        <f t="shared" si="7"/>
        <v>40000</v>
      </c>
    </row>
    <row r="243" spans="1:9" ht="56.25">
      <c r="A243" s="1081"/>
      <c r="B243" s="535" t="s">
        <v>1978</v>
      </c>
      <c r="C243" s="908">
        <v>49000</v>
      </c>
      <c r="D243" s="908"/>
      <c r="E243" s="905">
        <v>49000</v>
      </c>
      <c r="F243" s="841"/>
      <c r="G243" s="841"/>
      <c r="H243" s="840">
        <f t="shared" si="6"/>
        <v>0</v>
      </c>
      <c r="I243" s="840">
        <f t="shared" si="7"/>
        <v>98000</v>
      </c>
    </row>
    <row r="244" spans="1:9" ht="37.5">
      <c r="A244" s="1081"/>
      <c r="B244" s="535" t="s">
        <v>1979</v>
      </c>
      <c r="C244" s="908">
        <v>30000</v>
      </c>
      <c r="D244" s="908">
        <v>30000</v>
      </c>
      <c r="E244" s="905"/>
      <c r="F244" s="841"/>
      <c r="G244" s="841"/>
      <c r="H244" s="840">
        <f t="shared" si="6"/>
        <v>0</v>
      </c>
      <c r="I244" s="840">
        <f t="shared" si="7"/>
        <v>60000</v>
      </c>
    </row>
    <row r="245" spans="1:9" ht="168.75">
      <c r="A245" s="1081"/>
      <c r="B245" s="891" t="s">
        <v>1980</v>
      </c>
      <c r="C245" s="920">
        <v>37850</v>
      </c>
      <c r="D245" s="908">
        <v>37850</v>
      </c>
      <c r="E245" s="905"/>
      <c r="F245" s="841"/>
      <c r="G245" s="841"/>
      <c r="H245" s="840">
        <f t="shared" si="6"/>
        <v>0</v>
      </c>
      <c r="I245" s="840">
        <f t="shared" si="7"/>
        <v>75700</v>
      </c>
    </row>
    <row r="246" spans="1:9" ht="93.75">
      <c r="A246" s="1081"/>
      <c r="B246" s="891" t="s">
        <v>1981</v>
      </c>
      <c r="C246" s="908">
        <v>46000</v>
      </c>
      <c r="D246" s="908"/>
      <c r="E246" s="905">
        <v>46000</v>
      </c>
      <c r="F246" s="841"/>
      <c r="G246" s="841"/>
      <c r="H246" s="840">
        <f t="shared" si="6"/>
        <v>0</v>
      </c>
      <c r="I246" s="840">
        <f t="shared" si="7"/>
        <v>92000</v>
      </c>
    </row>
    <row r="247" spans="1:9" ht="93.75">
      <c r="A247" s="1081"/>
      <c r="B247" s="891" t="s">
        <v>1982</v>
      </c>
      <c r="C247" s="908">
        <v>46000</v>
      </c>
      <c r="D247" s="908"/>
      <c r="E247" s="905">
        <v>46000</v>
      </c>
      <c r="F247" s="841"/>
      <c r="G247" s="841"/>
      <c r="H247" s="840">
        <f t="shared" si="6"/>
        <v>0</v>
      </c>
      <c r="I247" s="840">
        <f t="shared" si="7"/>
        <v>92000</v>
      </c>
    </row>
    <row r="248" spans="1:9" ht="93.75">
      <c r="A248" s="1081"/>
      <c r="B248" s="891" t="s">
        <v>1983</v>
      </c>
      <c r="C248" s="908">
        <v>46000</v>
      </c>
      <c r="D248" s="908"/>
      <c r="E248" s="905">
        <v>46000</v>
      </c>
      <c r="F248" s="841"/>
      <c r="G248" s="841"/>
      <c r="H248" s="840">
        <f t="shared" si="6"/>
        <v>0</v>
      </c>
      <c r="I248" s="840">
        <f t="shared" si="7"/>
        <v>92000</v>
      </c>
    </row>
    <row r="249" spans="1:9" ht="93.75">
      <c r="A249" s="1081"/>
      <c r="B249" s="891" t="s">
        <v>1984</v>
      </c>
      <c r="C249" s="908">
        <v>46000</v>
      </c>
      <c r="D249" s="908"/>
      <c r="E249" s="905">
        <v>46000</v>
      </c>
      <c r="F249" s="841"/>
      <c r="G249" s="841"/>
      <c r="H249" s="840">
        <f t="shared" si="6"/>
        <v>0</v>
      </c>
      <c r="I249" s="840">
        <f t="shared" si="7"/>
        <v>92000</v>
      </c>
    </row>
    <row r="250" spans="1:9" ht="75">
      <c r="A250" s="1081"/>
      <c r="B250" s="475" t="s">
        <v>1985</v>
      </c>
      <c r="C250" s="908">
        <v>59588</v>
      </c>
      <c r="D250" s="908"/>
      <c r="E250" s="905">
        <v>59588</v>
      </c>
      <c r="F250" s="841"/>
      <c r="G250" s="841"/>
      <c r="H250" s="840">
        <f t="shared" si="6"/>
        <v>0</v>
      </c>
      <c r="I250" s="840">
        <f t="shared" si="7"/>
        <v>119176</v>
      </c>
    </row>
    <row r="251" spans="1:9" ht="93.75">
      <c r="A251" s="1081"/>
      <c r="B251" s="475" t="s">
        <v>1986</v>
      </c>
      <c r="C251" s="908">
        <v>80000</v>
      </c>
      <c r="D251" s="908"/>
      <c r="E251" s="905">
        <v>80000</v>
      </c>
      <c r="F251" s="841"/>
      <c r="G251" s="841"/>
      <c r="H251" s="840">
        <f t="shared" si="6"/>
        <v>0</v>
      </c>
      <c r="I251" s="840">
        <f t="shared" si="7"/>
        <v>160000</v>
      </c>
    </row>
    <row r="252" spans="1:9" ht="56.25">
      <c r="A252" s="1081"/>
      <c r="B252" s="535" t="s">
        <v>2438</v>
      </c>
      <c r="C252" s="914">
        <v>20000</v>
      </c>
      <c r="D252" s="914">
        <v>20000</v>
      </c>
      <c r="E252" s="914"/>
      <c r="F252" s="841"/>
      <c r="G252" s="841"/>
      <c r="H252" s="840">
        <f t="shared" si="6"/>
        <v>0</v>
      </c>
      <c r="I252" s="840">
        <f t="shared" si="7"/>
        <v>40000</v>
      </c>
    </row>
    <row r="253" spans="1:9" ht="75">
      <c r="A253" s="1081"/>
      <c r="B253" s="535" t="s">
        <v>2439</v>
      </c>
      <c r="C253" s="914">
        <v>21583</v>
      </c>
      <c r="D253" s="914"/>
      <c r="E253" s="914">
        <v>21583</v>
      </c>
      <c r="F253" s="841"/>
      <c r="G253" s="841"/>
      <c r="H253" s="840">
        <f t="shared" si="6"/>
        <v>0</v>
      </c>
      <c r="I253" s="840">
        <f t="shared" si="7"/>
        <v>43166</v>
      </c>
    </row>
    <row r="254" spans="1:9" ht="93.75">
      <c r="A254" s="1081"/>
      <c r="B254" s="535" t="s">
        <v>2440</v>
      </c>
      <c r="C254" s="914">
        <v>7000</v>
      </c>
      <c r="D254" s="914">
        <v>7000</v>
      </c>
      <c r="E254" s="914"/>
      <c r="F254" s="841"/>
      <c r="G254" s="841"/>
      <c r="H254" s="840">
        <f t="shared" si="6"/>
        <v>0</v>
      </c>
      <c r="I254" s="840">
        <f t="shared" si="7"/>
        <v>14000</v>
      </c>
    </row>
    <row r="255" spans="1:9" ht="56.25">
      <c r="A255" s="1081"/>
      <c r="B255" s="535" t="s">
        <v>2441</v>
      </c>
      <c r="C255" s="914">
        <v>10000</v>
      </c>
      <c r="D255" s="914">
        <v>10000</v>
      </c>
      <c r="E255" s="914"/>
      <c r="F255" s="841"/>
      <c r="G255" s="841"/>
      <c r="H255" s="840">
        <f t="shared" si="6"/>
        <v>0</v>
      </c>
      <c r="I255" s="840">
        <f t="shared" si="7"/>
        <v>20000</v>
      </c>
    </row>
    <row r="256" spans="1:9" ht="75">
      <c r="A256" s="1081"/>
      <c r="B256" s="475" t="s">
        <v>2442</v>
      </c>
      <c r="C256" s="908">
        <v>37780</v>
      </c>
      <c r="D256" s="908"/>
      <c r="E256" s="905">
        <v>37780</v>
      </c>
      <c r="F256" s="841"/>
      <c r="G256" s="841"/>
      <c r="H256" s="840">
        <f t="shared" si="6"/>
        <v>0</v>
      </c>
      <c r="I256" s="840">
        <f t="shared" si="7"/>
        <v>75560</v>
      </c>
    </row>
    <row r="257" spans="1:9" ht="112.5">
      <c r="A257" s="1081"/>
      <c r="B257" s="475" t="s">
        <v>2443</v>
      </c>
      <c r="C257" s="908">
        <v>200000</v>
      </c>
      <c r="D257" s="908">
        <v>100000</v>
      </c>
      <c r="E257" s="905">
        <v>100000</v>
      </c>
      <c r="F257" s="841"/>
      <c r="G257" s="841"/>
      <c r="H257" s="840">
        <f t="shared" si="6"/>
        <v>0</v>
      </c>
      <c r="I257" s="840">
        <f t="shared" si="7"/>
        <v>400000</v>
      </c>
    </row>
    <row r="258" spans="1:9" ht="75">
      <c r="A258" s="1081"/>
      <c r="B258" s="475" t="s">
        <v>2444</v>
      </c>
      <c r="C258" s="908">
        <v>10000</v>
      </c>
      <c r="D258" s="908">
        <v>10000</v>
      </c>
      <c r="E258" s="905"/>
      <c r="F258" s="841"/>
      <c r="G258" s="841"/>
      <c r="H258" s="840">
        <f t="shared" si="6"/>
        <v>0</v>
      </c>
      <c r="I258" s="840">
        <f t="shared" si="7"/>
        <v>20000</v>
      </c>
    </row>
    <row r="259" spans="1:9" ht="75">
      <c r="A259" s="1081"/>
      <c r="B259" s="475" t="s">
        <v>2445</v>
      </c>
      <c r="C259" s="908">
        <v>5000</v>
      </c>
      <c r="D259" s="908">
        <v>5000</v>
      </c>
      <c r="E259" s="905"/>
      <c r="F259" s="841"/>
      <c r="G259" s="841"/>
      <c r="H259" s="840">
        <f t="shared" si="6"/>
        <v>0</v>
      </c>
      <c r="I259" s="840">
        <f t="shared" si="7"/>
        <v>10000</v>
      </c>
    </row>
    <row r="260" spans="1:9" ht="93.75">
      <c r="A260" s="1081"/>
      <c r="B260" s="475" t="s">
        <v>2558</v>
      </c>
      <c r="C260" s="905">
        <v>50000</v>
      </c>
      <c r="D260" s="905"/>
      <c r="E260" s="905">
        <v>50000</v>
      </c>
      <c r="F260" s="841"/>
      <c r="G260" s="841"/>
      <c r="H260" s="840">
        <f t="shared" si="6"/>
        <v>0</v>
      </c>
      <c r="I260" s="840">
        <f t="shared" si="7"/>
        <v>100000</v>
      </c>
    </row>
    <row r="261" spans="1:9" s="302" customFormat="1" ht="56.25">
      <c r="A261" s="1068"/>
      <c r="B261" s="475" t="s">
        <v>2559</v>
      </c>
      <c r="C261" s="905">
        <v>50000</v>
      </c>
      <c r="D261" s="905">
        <v>50000</v>
      </c>
      <c r="E261" s="905"/>
      <c r="F261" s="841"/>
      <c r="G261" s="841"/>
      <c r="H261" s="840">
        <f t="shared" si="6"/>
        <v>0</v>
      </c>
      <c r="I261" s="840">
        <f t="shared" si="7"/>
        <v>100000</v>
      </c>
    </row>
    <row r="262" spans="1:9" s="302" customFormat="1" ht="37.5">
      <c r="A262" s="1068"/>
      <c r="B262" s="475" t="s">
        <v>2560</v>
      </c>
      <c r="C262" s="905">
        <v>50000</v>
      </c>
      <c r="D262" s="905"/>
      <c r="E262" s="905">
        <v>50000</v>
      </c>
      <c r="F262" s="841"/>
      <c r="G262" s="841"/>
      <c r="H262" s="840">
        <f t="shared" si="6"/>
        <v>0</v>
      </c>
      <c r="I262" s="840">
        <f t="shared" si="7"/>
        <v>100000</v>
      </c>
    </row>
    <row r="263" spans="1:9" s="302" customFormat="1" ht="93.75">
      <c r="A263" s="1068"/>
      <c r="B263" s="475" t="s">
        <v>2561</v>
      </c>
      <c r="C263" s="905">
        <v>23000</v>
      </c>
      <c r="D263" s="905"/>
      <c r="E263" s="905">
        <v>23000</v>
      </c>
      <c r="F263" s="841"/>
      <c r="G263" s="841"/>
      <c r="H263" s="840">
        <f t="shared" si="6"/>
        <v>0</v>
      </c>
      <c r="I263" s="840">
        <f t="shared" si="7"/>
        <v>46000</v>
      </c>
    </row>
    <row r="264" spans="1:9" s="302" customFormat="1" ht="93.75">
      <c r="A264" s="1068"/>
      <c r="B264" s="535" t="s">
        <v>2665</v>
      </c>
      <c r="C264" s="914">
        <v>50000</v>
      </c>
      <c r="D264" s="914"/>
      <c r="E264" s="914">
        <v>50000</v>
      </c>
      <c r="F264" s="841"/>
      <c r="G264" s="841"/>
      <c r="H264" s="840">
        <f t="shared" si="6"/>
        <v>0</v>
      </c>
      <c r="I264" s="840">
        <f t="shared" si="7"/>
        <v>100000</v>
      </c>
    </row>
    <row r="265" spans="1:9" s="302" customFormat="1" ht="93.75">
      <c r="A265" s="1068"/>
      <c r="B265" s="535" t="s">
        <v>2666</v>
      </c>
      <c r="C265" s="914">
        <v>50000</v>
      </c>
      <c r="D265" s="905"/>
      <c r="E265" s="905">
        <v>50000</v>
      </c>
      <c r="F265" s="841"/>
      <c r="G265" s="841"/>
      <c r="H265" s="840">
        <f t="shared" ref="H265:H328" si="8">E265+D265-C265</f>
        <v>0</v>
      </c>
      <c r="I265" s="840">
        <f t="shared" ref="I265:I328" si="9">SUM(C265:E265)</f>
        <v>100000</v>
      </c>
    </row>
    <row r="266" spans="1:9" s="302" customFormat="1" ht="93.75">
      <c r="A266" s="1068"/>
      <c r="B266" s="535" t="s">
        <v>2667</v>
      </c>
      <c r="C266" s="914">
        <v>50000</v>
      </c>
      <c r="D266" s="905"/>
      <c r="E266" s="905">
        <v>50000</v>
      </c>
      <c r="F266" s="841"/>
      <c r="G266" s="841"/>
      <c r="H266" s="840">
        <f t="shared" si="8"/>
        <v>0</v>
      </c>
      <c r="I266" s="840">
        <f t="shared" si="9"/>
        <v>100000</v>
      </c>
    </row>
    <row r="267" spans="1:9" s="302" customFormat="1" ht="75">
      <c r="A267" s="1068"/>
      <c r="B267" s="475" t="s">
        <v>2668</v>
      </c>
      <c r="C267" s="905">
        <v>90000</v>
      </c>
      <c r="D267" s="905">
        <v>13000</v>
      </c>
      <c r="E267" s="905">
        <v>77000</v>
      </c>
      <c r="F267" s="841"/>
      <c r="G267" s="841"/>
      <c r="H267" s="840">
        <f t="shared" si="8"/>
        <v>0</v>
      </c>
      <c r="I267" s="840">
        <f t="shared" si="9"/>
        <v>180000</v>
      </c>
    </row>
    <row r="268" spans="1:9" s="302" customFormat="1" ht="112.5">
      <c r="A268" s="1068"/>
      <c r="B268" s="475" t="s">
        <v>2669</v>
      </c>
      <c r="C268" s="905">
        <v>100000</v>
      </c>
      <c r="D268" s="906"/>
      <c r="E268" s="905">
        <v>100000</v>
      </c>
      <c r="F268" s="841"/>
      <c r="G268" s="841"/>
      <c r="H268" s="840">
        <f t="shared" si="8"/>
        <v>0</v>
      </c>
      <c r="I268" s="840">
        <f t="shared" si="9"/>
        <v>200000</v>
      </c>
    </row>
    <row r="269" spans="1:9" s="302" customFormat="1" ht="37.5">
      <c r="A269" s="1068"/>
      <c r="B269" s="475" t="s">
        <v>2670</v>
      </c>
      <c r="C269" s="908">
        <v>4700</v>
      </c>
      <c r="D269" s="905">
        <v>4700</v>
      </c>
      <c r="E269" s="906"/>
      <c r="F269" s="841"/>
      <c r="G269" s="841"/>
      <c r="H269" s="840">
        <f t="shared" si="8"/>
        <v>0</v>
      </c>
      <c r="I269" s="840">
        <f t="shared" si="9"/>
        <v>9400</v>
      </c>
    </row>
    <row r="270" spans="1:9" s="302" customFormat="1" ht="37.5">
      <c r="A270" s="1068"/>
      <c r="B270" s="475" t="s">
        <v>2671</v>
      </c>
      <c r="C270" s="908">
        <v>780</v>
      </c>
      <c r="D270" s="908">
        <v>780</v>
      </c>
      <c r="E270" s="908"/>
      <c r="F270" s="841"/>
      <c r="G270" s="841"/>
      <c r="H270" s="840">
        <f t="shared" si="8"/>
        <v>0</v>
      </c>
      <c r="I270" s="840">
        <f t="shared" si="9"/>
        <v>1560</v>
      </c>
    </row>
    <row r="271" spans="1:9" s="302" customFormat="1" ht="75">
      <c r="A271" s="1068"/>
      <c r="B271" s="475" t="s">
        <v>2672</v>
      </c>
      <c r="C271" s="915">
        <v>18000</v>
      </c>
      <c r="D271" s="915">
        <v>18000</v>
      </c>
      <c r="E271" s="914"/>
      <c r="F271" s="841"/>
      <c r="G271" s="841"/>
      <c r="H271" s="840">
        <f t="shared" si="8"/>
        <v>0</v>
      </c>
      <c r="I271" s="840">
        <f t="shared" si="9"/>
        <v>36000</v>
      </c>
    </row>
    <row r="272" spans="1:9" s="302" customFormat="1" ht="112.5">
      <c r="A272" s="1068"/>
      <c r="B272" s="475" t="s">
        <v>2673</v>
      </c>
      <c r="C272" s="915">
        <v>22760</v>
      </c>
      <c r="D272" s="915"/>
      <c r="E272" s="914">
        <v>22760</v>
      </c>
      <c r="F272" s="841"/>
      <c r="G272" s="841"/>
      <c r="H272" s="840">
        <f t="shared" si="8"/>
        <v>0</v>
      </c>
      <c r="I272" s="840">
        <f t="shared" si="9"/>
        <v>45520</v>
      </c>
    </row>
    <row r="273" spans="1:9" s="302" customFormat="1" ht="56.25">
      <c r="A273" s="1068"/>
      <c r="B273" s="475" t="s">
        <v>2674</v>
      </c>
      <c r="C273" s="915">
        <v>5000</v>
      </c>
      <c r="D273" s="915">
        <v>5000</v>
      </c>
      <c r="E273" s="914"/>
      <c r="F273" s="841"/>
      <c r="G273" s="841"/>
      <c r="H273" s="840">
        <f t="shared" si="8"/>
        <v>0</v>
      </c>
      <c r="I273" s="840">
        <f t="shared" si="9"/>
        <v>10000</v>
      </c>
    </row>
    <row r="274" spans="1:9" s="302" customFormat="1" ht="37.5">
      <c r="A274" s="1068"/>
      <c r="B274" s="535" t="s">
        <v>2675</v>
      </c>
      <c r="C274" s="915">
        <v>20000</v>
      </c>
      <c r="D274" s="915">
        <v>20000</v>
      </c>
      <c r="E274" s="914"/>
      <c r="F274" s="841"/>
      <c r="G274" s="841"/>
      <c r="H274" s="840">
        <f t="shared" si="8"/>
        <v>0</v>
      </c>
      <c r="I274" s="840">
        <f t="shared" si="9"/>
        <v>40000</v>
      </c>
    </row>
    <row r="275" spans="1:9" s="302" customFormat="1" ht="37.5">
      <c r="A275" s="1068"/>
      <c r="B275" s="535" t="s">
        <v>2676</v>
      </c>
      <c r="C275" s="915">
        <v>20000</v>
      </c>
      <c r="D275" s="915">
        <v>20000</v>
      </c>
      <c r="E275" s="914"/>
      <c r="F275" s="841"/>
      <c r="G275" s="841"/>
      <c r="H275" s="840">
        <f t="shared" si="8"/>
        <v>0</v>
      </c>
      <c r="I275" s="840">
        <f t="shared" si="9"/>
        <v>40000</v>
      </c>
    </row>
    <row r="276" spans="1:9" s="302" customFormat="1" ht="56.25">
      <c r="A276" s="1068"/>
      <c r="B276" s="846" t="s">
        <v>2677</v>
      </c>
      <c r="C276" s="905">
        <v>7000</v>
      </c>
      <c r="D276" s="908">
        <v>500</v>
      </c>
      <c r="E276" s="905">
        <v>6500</v>
      </c>
      <c r="F276" s="841"/>
      <c r="G276" s="841"/>
      <c r="H276" s="840">
        <f t="shared" si="8"/>
        <v>0</v>
      </c>
      <c r="I276" s="840">
        <f t="shared" si="9"/>
        <v>14000</v>
      </c>
    </row>
    <row r="277" spans="1:9" s="302" customFormat="1" ht="37.5">
      <c r="A277" s="1071"/>
      <c r="B277" s="475" t="s">
        <v>3098</v>
      </c>
      <c r="C277" s="905">
        <v>5000</v>
      </c>
      <c r="D277" s="905">
        <v>5000</v>
      </c>
      <c r="E277" s="905"/>
      <c r="F277" s="841"/>
      <c r="G277" s="841"/>
      <c r="H277" s="840">
        <f t="shared" si="8"/>
        <v>0</v>
      </c>
      <c r="I277" s="840">
        <f t="shared" si="9"/>
        <v>10000</v>
      </c>
    </row>
    <row r="278" spans="1:9" s="302" customFormat="1" ht="37.5">
      <c r="A278" s="1071"/>
      <c r="B278" s="475" t="s">
        <v>2678</v>
      </c>
      <c r="C278" s="908">
        <v>99000</v>
      </c>
      <c r="D278" s="908"/>
      <c r="E278" s="905">
        <v>99000</v>
      </c>
      <c r="F278" s="841"/>
      <c r="G278" s="841"/>
      <c r="H278" s="840">
        <f t="shared" si="8"/>
        <v>0</v>
      </c>
      <c r="I278" s="840">
        <f t="shared" si="9"/>
        <v>198000</v>
      </c>
    </row>
    <row r="279" spans="1:9" s="302" customFormat="1" ht="75">
      <c r="A279" s="1071"/>
      <c r="B279" s="535" t="s">
        <v>3148</v>
      </c>
      <c r="C279" s="915">
        <v>20000</v>
      </c>
      <c r="D279" s="915">
        <v>20000</v>
      </c>
      <c r="E279" s="914"/>
      <c r="F279" s="841"/>
      <c r="G279" s="841"/>
      <c r="H279" s="840">
        <f t="shared" si="8"/>
        <v>0</v>
      </c>
      <c r="I279" s="840">
        <f t="shared" si="9"/>
        <v>40000</v>
      </c>
    </row>
    <row r="280" spans="1:9" s="302" customFormat="1" ht="56.25">
      <c r="A280" s="1071"/>
      <c r="B280" s="475" t="s">
        <v>3149</v>
      </c>
      <c r="C280" s="908">
        <v>13000</v>
      </c>
      <c r="D280" s="908">
        <v>13000</v>
      </c>
      <c r="E280" s="905"/>
      <c r="F280" s="841"/>
      <c r="G280" s="841"/>
      <c r="H280" s="840">
        <f t="shared" si="8"/>
        <v>0</v>
      </c>
      <c r="I280" s="840">
        <f t="shared" si="9"/>
        <v>26000</v>
      </c>
    </row>
    <row r="281" spans="1:9" s="302" customFormat="1" ht="75">
      <c r="A281" s="1071"/>
      <c r="B281" s="475" t="s">
        <v>3150</v>
      </c>
      <c r="C281" s="908">
        <v>79324</v>
      </c>
      <c r="D281" s="908"/>
      <c r="E281" s="905">
        <v>79324</v>
      </c>
      <c r="F281" s="841"/>
      <c r="G281" s="841"/>
      <c r="H281" s="840">
        <f t="shared" si="8"/>
        <v>0</v>
      </c>
      <c r="I281" s="840">
        <f t="shared" si="9"/>
        <v>158648</v>
      </c>
    </row>
    <row r="282" spans="1:9" s="302" customFormat="1" hidden="1">
      <c r="A282" s="1071"/>
      <c r="B282" s="475"/>
      <c r="C282" s="905"/>
      <c r="D282" s="905"/>
      <c r="E282" s="905"/>
      <c r="F282" s="841"/>
      <c r="G282" s="841"/>
      <c r="H282" s="840">
        <f t="shared" si="8"/>
        <v>0</v>
      </c>
      <c r="I282" s="840">
        <f t="shared" si="9"/>
        <v>0</v>
      </c>
    </row>
    <row r="283" spans="1:9" s="302" customFormat="1" hidden="1">
      <c r="A283" s="1071"/>
      <c r="B283" s="475"/>
      <c r="C283" s="905"/>
      <c r="D283" s="905"/>
      <c r="E283" s="905"/>
      <c r="F283" s="841"/>
      <c r="G283" s="841"/>
      <c r="H283" s="840">
        <f t="shared" si="8"/>
        <v>0</v>
      </c>
      <c r="I283" s="840">
        <f t="shared" si="9"/>
        <v>0</v>
      </c>
    </row>
    <row r="284" spans="1:9" s="302" customFormat="1" hidden="1">
      <c r="A284" s="1071"/>
      <c r="B284" s="475"/>
      <c r="C284" s="905"/>
      <c r="D284" s="905"/>
      <c r="E284" s="905"/>
      <c r="F284" s="841"/>
      <c r="G284" s="841"/>
      <c r="H284" s="840">
        <f t="shared" si="8"/>
        <v>0</v>
      </c>
      <c r="I284" s="840">
        <f t="shared" si="9"/>
        <v>0</v>
      </c>
    </row>
    <row r="285" spans="1:9" s="302" customFormat="1" hidden="1">
      <c r="A285" s="1071"/>
      <c r="B285" s="475"/>
      <c r="C285" s="905"/>
      <c r="D285" s="905"/>
      <c r="E285" s="905"/>
      <c r="F285" s="841"/>
      <c r="G285" s="841"/>
      <c r="H285" s="840">
        <f t="shared" si="8"/>
        <v>0</v>
      </c>
      <c r="I285" s="840">
        <f t="shared" si="9"/>
        <v>0</v>
      </c>
    </row>
    <row r="286" spans="1:9" s="302" customFormat="1" hidden="1">
      <c r="A286" s="1071"/>
      <c r="B286" s="475"/>
      <c r="C286" s="905"/>
      <c r="D286" s="905"/>
      <c r="E286" s="905"/>
      <c r="F286" s="841"/>
      <c r="G286" s="841"/>
      <c r="H286" s="840">
        <f t="shared" si="8"/>
        <v>0</v>
      </c>
      <c r="I286" s="840">
        <f t="shared" si="9"/>
        <v>0</v>
      </c>
    </row>
    <row r="287" spans="1:9" s="302" customFormat="1" hidden="1">
      <c r="A287" s="1071"/>
      <c r="B287" s="475"/>
      <c r="C287" s="905"/>
      <c r="D287" s="905"/>
      <c r="E287" s="905"/>
      <c r="F287" s="841"/>
      <c r="G287" s="841"/>
      <c r="H287" s="840">
        <f t="shared" si="8"/>
        <v>0</v>
      </c>
      <c r="I287" s="840">
        <f t="shared" si="9"/>
        <v>0</v>
      </c>
    </row>
    <row r="288" spans="1:9" s="302" customFormat="1" hidden="1">
      <c r="A288" s="1071"/>
      <c r="B288" s="475"/>
      <c r="C288" s="905"/>
      <c r="D288" s="905"/>
      <c r="E288" s="905"/>
      <c r="F288" s="841"/>
      <c r="G288" s="841"/>
      <c r="H288" s="840">
        <f t="shared" si="8"/>
        <v>0</v>
      </c>
      <c r="I288" s="840">
        <f t="shared" si="9"/>
        <v>0</v>
      </c>
    </row>
    <row r="289" spans="1:9" s="302" customFormat="1" hidden="1">
      <c r="A289" s="1071"/>
      <c r="B289" s="475"/>
      <c r="C289" s="905"/>
      <c r="D289" s="905"/>
      <c r="E289" s="905"/>
      <c r="F289" s="841"/>
      <c r="G289" s="841"/>
      <c r="H289" s="840">
        <f t="shared" si="8"/>
        <v>0</v>
      </c>
      <c r="I289" s="840">
        <f t="shared" si="9"/>
        <v>0</v>
      </c>
    </row>
    <row r="290" spans="1:9" s="302" customFormat="1" hidden="1">
      <c r="A290" s="1071"/>
      <c r="B290" s="475"/>
      <c r="C290" s="916"/>
      <c r="D290" s="916"/>
      <c r="E290" s="905"/>
      <c r="F290" s="841"/>
      <c r="G290" s="841"/>
      <c r="H290" s="840">
        <f t="shared" si="8"/>
        <v>0</v>
      </c>
      <c r="I290" s="840">
        <f t="shared" si="9"/>
        <v>0</v>
      </c>
    </row>
    <row r="291" spans="1:9" s="302" customFormat="1" hidden="1">
      <c r="A291" s="1071"/>
      <c r="B291" s="475"/>
      <c r="C291" s="916"/>
      <c r="D291" s="916"/>
      <c r="E291" s="905"/>
      <c r="F291" s="841"/>
      <c r="G291" s="841"/>
      <c r="H291" s="840">
        <f t="shared" si="8"/>
        <v>0</v>
      </c>
      <c r="I291" s="840">
        <f t="shared" si="9"/>
        <v>0</v>
      </c>
    </row>
    <row r="292" spans="1:9" s="302" customFormat="1" hidden="1">
      <c r="A292" s="1071"/>
      <c r="B292" s="475"/>
      <c r="C292" s="916"/>
      <c r="D292" s="916"/>
      <c r="E292" s="905"/>
      <c r="F292" s="841"/>
      <c r="G292" s="841"/>
      <c r="H292" s="840">
        <f t="shared" si="8"/>
        <v>0</v>
      </c>
      <c r="I292" s="840">
        <f t="shared" si="9"/>
        <v>0</v>
      </c>
    </row>
    <row r="293" spans="1:9" s="302" customFormat="1" hidden="1">
      <c r="A293" s="1071"/>
      <c r="B293" s="475"/>
      <c r="C293" s="916"/>
      <c r="D293" s="916"/>
      <c r="E293" s="905"/>
      <c r="F293" s="841"/>
      <c r="G293" s="841"/>
      <c r="H293" s="840">
        <f t="shared" si="8"/>
        <v>0</v>
      </c>
      <c r="I293" s="840">
        <f t="shared" si="9"/>
        <v>0</v>
      </c>
    </row>
    <row r="294" spans="1:9" s="302" customFormat="1" hidden="1">
      <c r="A294" s="1071"/>
      <c r="B294" s="475"/>
      <c r="C294" s="916"/>
      <c r="D294" s="916"/>
      <c r="E294" s="905"/>
      <c r="F294" s="841"/>
      <c r="G294" s="841"/>
      <c r="H294" s="840">
        <f t="shared" si="8"/>
        <v>0</v>
      </c>
      <c r="I294" s="840">
        <f t="shared" si="9"/>
        <v>0</v>
      </c>
    </row>
    <row r="295" spans="1:9" s="302" customFormat="1" hidden="1">
      <c r="A295" s="1071"/>
      <c r="B295" s="475"/>
      <c r="C295" s="916"/>
      <c r="D295" s="916"/>
      <c r="E295" s="905"/>
      <c r="F295" s="841"/>
      <c r="G295" s="841"/>
      <c r="H295" s="840">
        <f t="shared" si="8"/>
        <v>0</v>
      </c>
      <c r="I295" s="840">
        <f t="shared" si="9"/>
        <v>0</v>
      </c>
    </row>
    <row r="296" spans="1:9" s="302" customFormat="1" hidden="1">
      <c r="A296" s="1071"/>
      <c r="B296" s="475"/>
      <c r="C296" s="905"/>
      <c r="D296" s="914"/>
      <c r="E296" s="914"/>
      <c r="F296" s="841"/>
      <c r="G296" s="841"/>
      <c r="H296" s="840">
        <f t="shared" si="8"/>
        <v>0</v>
      </c>
      <c r="I296" s="840">
        <f t="shared" si="9"/>
        <v>0</v>
      </c>
    </row>
    <row r="297" spans="1:9" s="302" customFormat="1" hidden="1">
      <c r="A297" s="1071"/>
      <c r="B297" s="475"/>
      <c r="C297" s="905"/>
      <c r="D297" s="473"/>
      <c r="E297" s="914"/>
      <c r="F297" s="841"/>
      <c r="G297" s="841"/>
      <c r="H297" s="840">
        <f t="shared" si="8"/>
        <v>0</v>
      </c>
      <c r="I297" s="840">
        <f t="shared" si="9"/>
        <v>0</v>
      </c>
    </row>
    <row r="298" spans="1:9" s="302" customFormat="1" hidden="1">
      <c r="A298" s="1071"/>
      <c r="B298" s="475"/>
      <c r="C298" s="905"/>
      <c r="D298" s="473"/>
      <c r="E298" s="914"/>
      <c r="F298" s="841"/>
      <c r="G298" s="841"/>
      <c r="H298" s="840">
        <f t="shared" si="8"/>
        <v>0</v>
      </c>
      <c r="I298" s="840">
        <f t="shared" si="9"/>
        <v>0</v>
      </c>
    </row>
    <row r="299" spans="1:9" s="302" customFormat="1" hidden="1">
      <c r="A299" s="1071"/>
      <c r="B299" s="475"/>
      <c r="C299" s="905"/>
      <c r="D299" s="914"/>
      <c r="E299" s="914"/>
      <c r="F299" s="841"/>
      <c r="G299" s="841"/>
      <c r="H299" s="840">
        <f t="shared" si="8"/>
        <v>0</v>
      </c>
      <c r="I299" s="840">
        <f t="shared" si="9"/>
        <v>0</v>
      </c>
    </row>
    <row r="300" spans="1:9" s="302" customFormat="1" hidden="1">
      <c r="A300" s="1071"/>
      <c r="B300" s="475"/>
      <c r="C300" s="905"/>
      <c r="D300" s="473"/>
      <c r="E300" s="914"/>
      <c r="F300" s="841"/>
      <c r="G300" s="841"/>
      <c r="H300" s="840">
        <f t="shared" si="8"/>
        <v>0</v>
      </c>
      <c r="I300" s="840">
        <f t="shared" si="9"/>
        <v>0</v>
      </c>
    </row>
    <row r="301" spans="1:9" s="302" customFormat="1" hidden="1">
      <c r="A301" s="1071"/>
      <c r="B301" s="475"/>
      <c r="C301" s="916"/>
      <c r="D301" s="916"/>
      <c r="E301" s="905"/>
      <c r="F301" s="841"/>
      <c r="G301" s="841"/>
      <c r="H301" s="840">
        <f t="shared" si="8"/>
        <v>0</v>
      </c>
      <c r="I301" s="840">
        <f t="shared" si="9"/>
        <v>0</v>
      </c>
    </row>
    <row r="302" spans="1:9" s="302" customFormat="1" hidden="1">
      <c r="A302" s="1071"/>
      <c r="B302" s="475"/>
      <c r="C302" s="916"/>
      <c r="D302" s="916"/>
      <c r="E302" s="905"/>
      <c r="F302" s="841"/>
      <c r="G302" s="841"/>
      <c r="H302" s="840">
        <f t="shared" si="8"/>
        <v>0</v>
      </c>
      <c r="I302" s="840">
        <f t="shared" si="9"/>
        <v>0</v>
      </c>
    </row>
    <row r="303" spans="1:9" s="302" customFormat="1" hidden="1">
      <c r="A303" s="1071"/>
      <c r="B303" s="475"/>
      <c r="C303" s="916"/>
      <c r="D303" s="916"/>
      <c r="E303" s="905"/>
      <c r="F303" s="841"/>
      <c r="G303" s="841"/>
      <c r="H303" s="840">
        <f t="shared" si="8"/>
        <v>0</v>
      </c>
      <c r="I303" s="840">
        <f t="shared" si="9"/>
        <v>0</v>
      </c>
    </row>
    <row r="304" spans="1:9" s="302" customFormat="1" hidden="1">
      <c r="A304" s="1071"/>
      <c r="B304" s="475"/>
      <c r="C304" s="916"/>
      <c r="D304" s="916"/>
      <c r="E304" s="905"/>
      <c r="F304" s="841"/>
      <c r="G304" s="841"/>
      <c r="H304" s="840">
        <f t="shared" si="8"/>
        <v>0</v>
      </c>
      <c r="I304" s="840">
        <f t="shared" si="9"/>
        <v>0</v>
      </c>
    </row>
    <row r="305" spans="1:9" s="302" customFormat="1" hidden="1">
      <c r="A305" s="1071"/>
      <c r="B305" s="475"/>
      <c r="C305" s="916"/>
      <c r="D305" s="916"/>
      <c r="E305" s="905"/>
      <c r="F305" s="841"/>
      <c r="G305" s="841"/>
      <c r="H305" s="840">
        <f t="shared" si="8"/>
        <v>0</v>
      </c>
      <c r="I305" s="840">
        <f t="shared" si="9"/>
        <v>0</v>
      </c>
    </row>
    <row r="306" spans="1:9" s="302" customFormat="1" hidden="1">
      <c r="A306" s="1071"/>
      <c r="B306" s="475"/>
      <c r="C306" s="916"/>
      <c r="D306" s="916"/>
      <c r="E306" s="905"/>
      <c r="F306" s="841"/>
      <c r="G306" s="841"/>
      <c r="H306" s="840">
        <f t="shared" si="8"/>
        <v>0</v>
      </c>
      <c r="I306" s="840">
        <f t="shared" si="9"/>
        <v>0</v>
      </c>
    </row>
    <row r="307" spans="1:9" s="302" customFormat="1" hidden="1">
      <c r="A307" s="1071"/>
      <c r="B307" s="475"/>
      <c r="C307" s="916"/>
      <c r="D307" s="916"/>
      <c r="E307" s="905"/>
      <c r="F307" s="841"/>
      <c r="G307" s="841"/>
      <c r="H307" s="840">
        <f t="shared" si="8"/>
        <v>0</v>
      </c>
      <c r="I307" s="840">
        <f t="shared" si="9"/>
        <v>0</v>
      </c>
    </row>
    <row r="308" spans="1:9" s="302" customFormat="1" hidden="1">
      <c r="A308" s="1071"/>
      <c r="B308" s="475"/>
      <c r="C308" s="916"/>
      <c r="D308" s="916"/>
      <c r="E308" s="905"/>
      <c r="F308" s="841"/>
      <c r="G308" s="841"/>
      <c r="H308" s="840">
        <f t="shared" si="8"/>
        <v>0</v>
      </c>
      <c r="I308" s="840">
        <f t="shared" si="9"/>
        <v>0</v>
      </c>
    </row>
    <row r="309" spans="1:9" s="302" customFormat="1" hidden="1">
      <c r="A309" s="1071"/>
      <c r="B309" s="475"/>
      <c r="C309" s="916"/>
      <c r="D309" s="916"/>
      <c r="E309" s="905"/>
      <c r="F309" s="841"/>
      <c r="G309" s="841"/>
      <c r="H309" s="840">
        <f t="shared" si="8"/>
        <v>0</v>
      </c>
      <c r="I309" s="840">
        <f t="shared" si="9"/>
        <v>0</v>
      </c>
    </row>
    <row r="310" spans="1:9" s="302" customFormat="1" hidden="1">
      <c r="A310" s="1071"/>
      <c r="B310" s="475"/>
      <c r="C310" s="916"/>
      <c r="D310" s="916"/>
      <c r="E310" s="905"/>
      <c r="F310" s="841"/>
      <c r="G310" s="841"/>
      <c r="H310" s="840">
        <f t="shared" si="8"/>
        <v>0</v>
      </c>
      <c r="I310" s="840">
        <f t="shared" si="9"/>
        <v>0</v>
      </c>
    </row>
    <row r="311" spans="1:9" s="302" customFormat="1" hidden="1">
      <c r="A311" s="1071"/>
      <c r="B311" s="475"/>
      <c r="C311" s="916"/>
      <c r="D311" s="916"/>
      <c r="E311" s="905"/>
      <c r="F311" s="841"/>
      <c r="G311" s="841"/>
      <c r="H311" s="840">
        <f t="shared" si="8"/>
        <v>0</v>
      </c>
      <c r="I311" s="840">
        <f t="shared" si="9"/>
        <v>0</v>
      </c>
    </row>
    <row r="312" spans="1:9" s="302" customFormat="1" hidden="1">
      <c r="A312" s="1071"/>
      <c r="B312" s="475"/>
      <c r="C312" s="916"/>
      <c r="D312" s="916"/>
      <c r="E312" s="905"/>
      <c r="F312" s="841"/>
      <c r="G312" s="841"/>
      <c r="H312" s="840">
        <f t="shared" si="8"/>
        <v>0</v>
      </c>
      <c r="I312" s="840">
        <f t="shared" si="9"/>
        <v>0</v>
      </c>
    </row>
    <row r="313" spans="1:9" s="302" customFormat="1" hidden="1">
      <c r="A313" s="1071"/>
      <c r="B313" s="475"/>
      <c r="C313" s="916"/>
      <c r="D313" s="916"/>
      <c r="E313" s="905"/>
      <c r="F313" s="841"/>
      <c r="G313" s="841"/>
      <c r="H313" s="840">
        <f t="shared" si="8"/>
        <v>0</v>
      </c>
      <c r="I313" s="840">
        <f t="shared" si="9"/>
        <v>0</v>
      </c>
    </row>
    <row r="314" spans="1:9" s="302" customFormat="1" hidden="1">
      <c r="A314" s="1071"/>
      <c r="B314" s="475"/>
      <c r="C314" s="916"/>
      <c r="D314" s="916"/>
      <c r="E314" s="905"/>
      <c r="F314" s="841"/>
      <c r="G314" s="841"/>
      <c r="H314" s="840">
        <f t="shared" si="8"/>
        <v>0</v>
      </c>
      <c r="I314" s="840">
        <f t="shared" si="9"/>
        <v>0</v>
      </c>
    </row>
    <row r="315" spans="1:9" s="302" customFormat="1" hidden="1">
      <c r="A315" s="1071"/>
      <c r="B315" s="475"/>
      <c r="C315" s="916"/>
      <c r="D315" s="916"/>
      <c r="E315" s="905"/>
      <c r="F315" s="841"/>
      <c r="G315" s="841"/>
      <c r="H315" s="840">
        <f t="shared" si="8"/>
        <v>0</v>
      </c>
      <c r="I315" s="840">
        <f t="shared" si="9"/>
        <v>0</v>
      </c>
    </row>
    <row r="316" spans="1:9" s="302" customFormat="1" hidden="1">
      <c r="A316" s="1071"/>
      <c r="B316" s="475"/>
      <c r="C316" s="916"/>
      <c r="D316" s="916"/>
      <c r="E316" s="905"/>
      <c r="F316" s="841"/>
      <c r="G316" s="841"/>
      <c r="H316" s="840">
        <f t="shared" si="8"/>
        <v>0</v>
      </c>
      <c r="I316" s="840">
        <f t="shared" si="9"/>
        <v>0</v>
      </c>
    </row>
    <row r="317" spans="1:9" s="302" customFormat="1" ht="18" hidden="1" customHeight="1">
      <c r="A317" s="1071"/>
      <c r="B317" s="864"/>
      <c r="C317" s="917"/>
      <c r="D317" s="917"/>
      <c r="E317" s="918"/>
      <c r="F317" s="841"/>
      <c r="G317" s="841"/>
      <c r="H317" s="840">
        <f t="shared" si="8"/>
        <v>0</v>
      </c>
      <c r="I317" s="840">
        <f t="shared" si="9"/>
        <v>0</v>
      </c>
    </row>
    <row r="318" spans="1:9" s="845" customFormat="1">
      <c r="A318" s="1081"/>
      <c r="B318" s="847" t="s">
        <v>253</v>
      </c>
      <c r="C318" s="919">
        <f>SUM(C192:C317)</f>
        <v>3461833</v>
      </c>
      <c r="D318" s="919">
        <f>SUM(D192:D317)</f>
        <v>764509</v>
      </c>
      <c r="E318" s="919">
        <f>SUM(E192:E317)</f>
        <v>2697324</v>
      </c>
      <c r="F318" s="848"/>
      <c r="G318" s="849"/>
      <c r="H318" s="840">
        <f t="shared" si="8"/>
        <v>0</v>
      </c>
      <c r="I318" s="840">
        <f t="shared" si="9"/>
        <v>6923666</v>
      </c>
    </row>
    <row r="319" spans="1:9" ht="75">
      <c r="A319" s="1151" t="s">
        <v>59</v>
      </c>
      <c r="B319" s="887" t="s">
        <v>952</v>
      </c>
      <c r="C319" s="907">
        <v>3625300</v>
      </c>
      <c r="D319" s="530">
        <v>3625300</v>
      </c>
      <c r="E319" s="907"/>
      <c r="F319" s="841"/>
      <c r="G319" s="841"/>
      <c r="H319" s="840">
        <f t="shared" si="8"/>
        <v>0</v>
      </c>
      <c r="I319" s="840">
        <f t="shared" si="9"/>
        <v>7250600</v>
      </c>
    </row>
    <row r="320" spans="1:9" ht="112.5">
      <c r="A320" s="1151"/>
      <c r="B320" s="475" t="s">
        <v>953</v>
      </c>
      <c r="C320" s="530">
        <v>100000</v>
      </c>
      <c r="D320" s="530"/>
      <c r="E320" s="905">
        <v>100000</v>
      </c>
      <c r="F320" s="841"/>
      <c r="G320" s="841"/>
      <c r="H320" s="840">
        <f t="shared" si="8"/>
        <v>0</v>
      </c>
      <c r="I320" s="840">
        <f t="shared" si="9"/>
        <v>200000</v>
      </c>
    </row>
    <row r="321" spans="1:9" ht="56.25">
      <c r="A321" s="1151"/>
      <c r="B321" s="475" t="s">
        <v>1199</v>
      </c>
      <c r="C321" s="530">
        <v>30000</v>
      </c>
      <c r="D321" s="530">
        <v>30000</v>
      </c>
      <c r="E321" s="905"/>
      <c r="F321" s="841"/>
      <c r="G321" s="841"/>
      <c r="H321" s="840">
        <f t="shared" si="8"/>
        <v>0</v>
      </c>
      <c r="I321" s="840">
        <f t="shared" si="9"/>
        <v>60000</v>
      </c>
    </row>
    <row r="322" spans="1:9" ht="56.25">
      <c r="A322" s="1151"/>
      <c r="B322" s="475" t="s">
        <v>1200</v>
      </c>
      <c r="C322" s="530">
        <v>33960</v>
      </c>
      <c r="D322" s="530">
        <v>33960</v>
      </c>
      <c r="E322" s="905"/>
      <c r="F322" s="841"/>
      <c r="G322" s="841"/>
      <c r="H322" s="840">
        <f t="shared" si="8"/>
        <v>0</v>
      </c>
      <c r="I322" s="840">
        <f t="shared" si="9"/>
        <v>67920</v>
      </c>
    </row>
    <row r="323" spans="1:9" ht="37.5">
      <c r="A323" s="1151"/>
      <c r="B323" s="475" t="s">
        <v>1807</v>
      </c>
      <c r="C323" s="530">
        <v>49000</v>
      </c>
      <c r="D323" s="530"/>
      <c r="E323" s="905">
        <v>49000</v>
      </c>
      <c r="F323" s="841"/>
      <c r="G323" s="841"/>
      <c r="H323" s="840">
        <f t="shared" si="8"/>
        <v>0</v>
      </c>
      <c r="I323" s="840">
        <f t="shared" si="9"/>
        <v>98000</v>
      </c>
    </row>
    <row r="324" spans="1:9" ht="37.5">
      <c r="A324" s="1151"/>
      <c r="B324" s="475" t="s">
        <v>1201</v>
      </c>
      <c r="C324" s="530">
        <v>40000</v>
      </c>
      <c r="D324" s="530"/>
      <c r="E324" s="905">
        <v>40000</v>
      </c>
      <c r="F324" s="841"/>
      <c r="G324" s="841"/>
      <c r="H324" s="840">
        <f t="shared" si="8"/>
        <v>0</v>
      </c>
      <c r="I324" s="840">
        <f t="shared" si="9"/>
        <v>80000</v>
      </c>
    </row>
    <row r="325" spans="1:9" ht="56.25">
      <c r="A325" s="1151"/>
      <c r="B325" s="475" t="s">
        <v>1202</v>
      </c>
      <c r="C325" s="530">
        <v>35000</v>
      </c>
      <c r="D325" s="530">
        <v>5900</v>
      </c>
      <c r="E325" s="905">
        <v>29100</v>
      </c>
      <c r="F325" s="841"/>
      <c r="G325" s="841"/>
      <c r="H325" s="840">
        <f t="shared" si="8"/>
        <v>0</v>
      </c>
      <c r="I325" s="840">
        <f t="shared" si="9"/>
        <v>70000</v>
      </c>
    </row>
    <row r="326" spans="1:9" ht="56.25">
      <c r="A326" s="1151"/>
      <c r="B326" s="475" t="s">
        <v>1203</v>
      </c>
      <c r="C326" s="530">
        <v>7000</v>
      </c>
      <c r="D326" s="530">
        <v>7000</v>
      </c>
      <c r="E326" s="905"/>
      <c r="F326" s="841"/>
      <c r="G326" s="841"/>
      <c r="H326" s="840">
        <f t="shared" si="8"/>
        <v>0</v>
      </c>
      <c r="I326" s="840">
        <f t="shared" si="9"/>
        <v>14000</v>
      </c>
    </row>
    <row r="327" spans="1:9" ht="56.25">
      <c r="A327" s="1151"/>
      <c r="B327" s="475" t="s">
        <v>1204</v>
      </c>
      <c r="C327" s="530">
        <v>40000</v>
      </c>
      <c r="D327" s="530"/>
      <c r="E327" s="905">
        <v>40000</v>
      </c>
      <c r="F327" s="841"/>
      <c r="G327" s="841"/>
      <c r="H327" s="840">
        <f t="shared" si="8"/>
        <v>0</v>
      </c>
      <c r="I327" s="840">
        <f t="shared" si="9"/>
        <v>80000</v>
      </c>
    </row>
    <row r="328" spans="1:9" ht="56.25">
      <c r="A328" s="1151"/>
      <c r="B328" s="475" t="s">
        <v>1808</v>
      </c>
      <c r="C328" s="530">
        <v>49000</v>
      </c>
      <c r="D328" s="530"/>
      <c r="E328" s="905">
        <v>49000</v>
      </c>
      <c r="F328" s="841"/>
      <c r="G328" s="841"/>
      <c r="H328" s="840">
        <f t="shared" si="8"/>
        <v>0</v>
      </c>
      <c r="I328" s="840">
        <f t="shared" si="9"/>
        <v>98000</v>
      </c>
    </row>
    <row r="329" spans="1:9" ht="56.25">
      <c r="A329" s="1151"/>
      <c r="B329" s="475" t="s">
        <v>1205</v>
      </c>
      <c r="C329" s="530">
        <v>49000</v>
      </c>
      <c r="D329" s="530"/>
      <c r="E329" s="905">
        <v>49000</v>
      </c>
      <c r="F329" s="841"/>
      <c r="G329" s="841"/>
      <c r="H329" s="840">
        <f t="shared" ref="H329:H392" si="10">E329+D329-C329</f>
        <v>0</v>
      </c>
      <c r="I329" s="840">
        <f t="shared" ref="I329:I392" si="11">SUM(C329:E329)</f>
        <v>98000</v>
      </c>
    </row>
    <row r="330" spans="1:9" s="302" customFormat="1" ht="37.5">
      <c r="A330" s="1152"/>
      <c r="B330" s="475" t="s">
        <v>1206</v>
      </c>
      <c r="C330" s="530">
        <v>8000</v>
      </c>
      <c r="D330" s="530"/>
      <c r="E330" s="905">
        <v>8000</v>
      </c>
      <c r="F330" s="841"/>
      <c r="G330" s="841"/>
      <c r="H330" s="840">
        <f t="shared" si="10"/>
        <v>0</v>
      </c>
      <c r="I330" s="840">
        <f t="shared" si="11"/>
        <v>16000</v>
      </c>
    </row>
    <row r="331" spans="1:9" s="302" customFormat="1" ht="37.5">
      <c r="A331" s="1152"/>
      <c r="B331" s="475" t="s">
        <v>1207</v>
      </c>
      <c r="C331" s="530">
        <v>40000</v>
      </c>
      <c r="D331" s="530"/>
      <c r="E331" s="905">
        <v>40000</v>
      </c>
      <c r="F331" s="841"/>
      <c r="G331" s="841"/>
      <c r="H331" s="840">
        <f t="shared" si="10"/>
        <v>0</v>
      </c>
      <c r="I331" s="840">
        <f t="shared" si="11"/>
        <v>80000</v>
      </c>
    </row>
    <row r="332" spans="1:9" s="302" customFormat="1" ht="56.25">
      <c r="A332" s="1152"/>
      <c r="B332" s="475" t="s">
        <v>1208</v>
      </c>
      <c r="C332" s="530">
        <v>49000</v>
      </c>
      <c r="D332" s="530"/>
      <c r="E332" s="905">
        <v>49000</v>
      </c>
      <c r="F332" s="841"/>
      <c r="G332" s="841"/>
      <c r="H332" s="840">
        <f t="shared" si="10"/>
        <v>0</v>
      </c>
      <c r="I332" s="840">
        <f t="shared" si="11"/>
        <v>98000</v>
      </c>
    </row>
    <row r="333" spans="1:9" s="302" customFormat="1" ht="56.25">
      <c r="A333" s="1152"/>
      <c r="B333" s="475" t="s">
        <v>1209</v>
      </c>
      <c r="C333" s="530">
        <v>2000</v>
      </c>
      <c r="D333" s="530">
        <v>2000</v>
      </c>
      <c r="E333" s="905"/>
      <c r="F333" s="841"/>
      <c r="G333" s="841"/>
      <c r="H333" s="840">
        <f t="shared" si="10"/>
        <v>0</v>
      </c>
      <c r="I333" s="840">
        <f t="shared" si="11"/>
        <v>4000</v>
      </c>
    </row>
    <row r="334" spans="1:9" s="302" customFormat="1" ht="75">
      <c r="A334" s="1152"/>
      <c r="B334" s="475" t="s">
        <v>1809</v>
      </c>
      <c r="C334" s="530">
        <v>10000</v>
      </c>
      <c r="D334" s="530">
        <v>10000</v>
      </c>
      <c r="E334" s="905"/>
      <c r="F334" s="841"/>
      <c r="G334" s="841"/>
      <c r="H334" s="840">
        <f t="shared" si="10"/>
        <v>0</v>
      </c>
      <c r="I334" s="840">
        <f t="shared" si="11"/>
        <v>20000</v>
      </c>
    </row>
    <row r="335" spans="1:9" s="302" customFormat="1" ht="75">
      <c r="A335" s="1152"/>
      <c r="B335" s="475" t="s">
        <v>1810</v>
      </c>
      <c r="C335" s="530">
        <v>10000</v>
      </c>
      <c r="D335" s="530">
        <v>10000</v>
      </c>
      <c r="E335" s="905"/>
      <c r="F335" s="841"/>
      <c r="G335" s="841"/>
      <c r="H335" s="840">
        <f t="shared" si="10"/>
        <v>0</v>
      </c>
      <c r="I335" s="840">
        <f t="shared" si="11"/>
        <v>20000</v>
      </c>
    </row>
    <row r="336" spans="1:9" s="302" customFormat="1" ht="75">
      <c r="A336" s="1152"/>
      <c r="B336" s="475" t="s">
        <v>1210</v>
      </c>
      <c r="C336" s="530">
        <v>8000</v>
      </c>
      <c r="D336" s="530">
        <v>8000</v>
      </c>
      <c r="E336" s="905"/>
      <c r="F336" s="841"/>
      <c r="G336" s="841"/>
      <c r="H336" s="840">
        <f t="shared" si="10"/>
        <v>0</v>
      </c>
      <c r="I336" s="840">
        <f t="shared" si="11"/>
        <v>16000</v>
      </c>
    </row>
    <row r="337" spans="1:9" s="302" customFormat="1" ht="56.25">
      <c r="A337" s="1152"/>
      <c r="B337" s="475" t="s">
        <v>1211</v>
      </c>
      <c r="C337" s="530">
        <v>20007</v>
      </c>
      <c r="D337" s="530">
        <v>20007</v>
      </c>
      <c r="E337" s="905"/>
      <c r="F337" s="841"/>
      <c r="G337" s="841"/>
      <c r="H337" s="840">
        <f t="shared" si="10"/>
        <v>0</v>
      </c>
      <c r="I337" s="840">
        <f t="shared" si="11"/>
        <v>40014</v>
      </c>
    </row>
    <row r="338" spans="1:9" s="302" customFormat="1" ht="75">
      <c r="A338" s="1152"/>
      <c r="B338" s="475" t="s">
        <v>1212</v>
      </c>
      <c r="C338" s="530">
        <v>9000</v>
      </c>
      <c r="D338" s="530">
        <v>9000</v>
      </c>
      <c r="E338" s="905"/>
      <c r="F338" s="841"/>
      <c r="G338" s="841"/>
      <c r="H338" s="840">
        <f t="shared" si="10"/>
        <v>0</v>
      </c>
      <c r="I338" s="840">
        <f t="shared" si="11"/>
        <v>18000</v>
      </c>
    </row>
    <row r="339" spans="1:9" s="302" customFormat="1" ht="75">
      <c r="A339" s="1152"/>
      <c r="B339" s="475" t="s">
        <v>1213</v>
      </c>
      <c r="C339" s="530">
        <v>150000</v>
      </c>
      <c r="D339" s="530">
        <v>150000</v>
      </c>
      <c r="E339" s="905"/>
      <c r="F339" s="841"/>
      <c r="G339" s="841"/>
      <c r="H339" s="840">
        <f t="shared" si="10"/>
        <v>0</v>
      </c>
      <c r="I339" s="840">
        <f t="shared" si="11"/>
        <v>300000</v>
      </c>
    </row>
    <row r="340" spans="1:9" s="302" customFormat="1" ht="37.5">
      <c r="A340" s="1152"/>
      <c r="B340" s="475" t="s">
        <v>1214</v>
      </c>
      <c r="C340" s="530">
        <v>5000</v>
      </c>
      <c r="D340" s="530">
        <v>5000</v>
      </c>
      <c r="E340" s="905"/>
      <c r="F340" s="841"/>
      <c r="G340" s="841"/>
      <c r="H340" s="840">
        <f t="shared" si="10"/>
        <v>0</v>
      </c>
      <c r="I340" s="840">
        <f t="shared" si="11"/>
        <v>10000</v>
      </c>
    </row>
    <row r="341" spans="1:9" s="302" customFormat="1" ht="112.5">
      <c r="A341" s="1152"/>
      <c r="B341" s="475" t="s">
        <v>1215</v>
      </c>
      <c r="C341" s="530">
        <v>25000</v>
      </c>
      <c r="D341" s="530">
        <v>25000</v>
      </c>
      <c r="E341" s="905"/>
      <c r="F341" s="841"/>
      <c r="G341" s="841"/>
      <c r="H341" s="840">
        <f t="shared" si="10"/>
        <v>0</v>
      </c>
      <c r="I341" s="840">
        <f t="shared" si="11"/>
        <v>50000</v>
      </c>
    </row>
    <row r="342" spans="1:9" s="302" customFormat="1" ht="75">
      <c r="A342" s="1152"/>
      <c r="B342" s="475" t="s">
        <v>1216</v>
      </c>
      <c r="C342" s="530">
        <f>43092-19332</f>
        <v>23760</v>
      </c>
      <c r="D342" s="530">
        <f>43092-19332</f>
        <v>23760</v>
      </c>
      <c r="E342" s="905"/>
      <c r="F342" s="841"/>
      <c r="G342" s="841"/>
      <c r="H342" s="840">
        <f t="shared" si="10"/>
        <v>0</v>
      </c>
      <c r="I342" s="840">
        <f t="shared" si="11"/>
        <v>47520</v>
      </c>
    </row>
    <row r="343" spans="1:9" s="302" customFormat="1" ht="75">
      <c r="A343" s="1152"/>
      <c r="B343" s="475" t="s">
        <v>1217</v>
      </c>
      <c r="C343" s="530">
        <f>40068-11808</f>
        <v>28260</v>
      </c>
      <c r="D343" s="530">
        <f>40068-11808</f>
        <v>28260</v>
      </c>
      <c r="E343" s="905"/>
      <c r="F343" s="841"/>
      <c r="G343" s="841"/>
      <c r="H343" s="840">
        <f t="shared" si="10"/>
        <v>0</v>
      </c>
      <c r="I343" s="840">
        <f t="shared" si="11"/>
        <v>56520</v>
      </c>
    </row>
    <row r="344" spans="1:9" s="302" customFormat="1" ht="112.5">
      <c r="A344" s="1152"/>
      <c r="B344" s="475" t="s">
        <v>3044</v>
      </c>
      <c r="C344" s="908">
        <v>31140</v>
      </c>
      <c r="D344" s="908">
        <v>31140</v>
      </c>
      <c r="E344" s="905"/>
      <c r="F344" s="841"/>
      <c r="G344" s="841"/>
      <c r="H344" s="840">
        <f t="shared" si="10"/>
        <v>0</v>
      </c>
      <c r="I344" s="840">
        <f t="shared" si="11"/>
        <v>62280</v>
      </c>
    </row>
    <row r="345" spans="1:9" s="302" customFormat="1" ht="131.25">
      <c r="A345" s="1152"/>
      <c r="B345" s="475" t="s">
        <v>3042</v>
      </c>
      <c r="C345" s="908">
        <v>30000</v>
      </c>
      <c r="D345" s="908">
        <v>30000</v>
      </c>
      <c r="E345" s="905"/>
      <c r="F345" s="841"/>
      <c r="G345" s="841"/>
      <c r="H345" s="840">
        <f t="shared" si="10"/>
        <v>0</v>
      </c>
      <c r="I345" s="840">
        <f t="shared" si="11"/>
        <v>60000</v>
      </c>
    </row>
    <row r="346" spans="1:9" s="302" customFormat="1" ht="56.25">
      <c r="A346" s="1152"/>
      <c r="B346" s="475" t="s">
        <v>1767</v>
      </c>
      <c r="C346" s="908">
        <v>28278</v>
      </c>
      <c r="D346" s="908"/>
      <c r="E346" s="905">
        <v>28278</v>
      </c>
      <c r="F346" s="841"/>
      <c r="G346" s="841"/>
      <c r="H346" s="840">
        <f t="shared" si="10"/>
        <v>0</v>
      </c>
      <c r="I346" s="840">
        <f t="shared" si="11"/>
        <v>56556</v>
      </c>
    </row>
    <row r="347" spans="1:9" s="302" customFormat="1" ht="56.25">
      <c r="A347" s="1152"/>
      <c r="B347" s="475" t="s">
        <v>1768</v>
      </c>
      <c r="C347" s="908">
        <v>21278</v>
      </c>
      <c r="D347" s="908">
        <v>21278</v>
      </c>
      <c r="E347" s="905"/>
      <c r="F347" s="841"/>
      <c r="G347" s="841"/>
      <c r="H347" s="840">
        <f t="shared" si="10"/>
        <v>0</v>
      </c>
      <c r="I347" s="840">
        <f t="shared" si="11"/>
        <v>42556</v>
      </c>
    </row>
    <row r="348" spans="1:9" s="302" customFormat="1" ht="56.25">
      <c r="A348" s="1152"/>
      <c r="B348" s="475" t="s">
        <v>1769</v>
      </c>
      <c r="C348" s="908">
        <v>15000</v>
      </c>
      <c r="D348" s="908">
        <v>15000</v>
      </c>
      <c r="E348" s="905"/>
      <c r="F348" s="841"/>
      <c r="G348" s="841"/>
      <c r="H348" s="840">
        <f t="shared" si="10"/>
        <v>0</v>
      </c>
      <c r="I348" s="840">
        <f t="shared" si="11"/>
        <v>30000</v>
      </c>
    </row>
    <row r="349" spans="1:9" s="302" customFormat="1" ht="93.75">
      <c r="A349" s="1152"/>
      <c r="B349" s="475" t="s">
        <v>1770</v>
      </c>
      <c r="C349" s="908">
        <v>34151</v>
      </c>
      <c r="D349" s="908">
        <v>34151</v>
      </c>
      <c r="E349" s="905"/>
      <c r="F349" s="841"/>
      <c r="G349" s="841"/>
      <c r="H349" s="840">
        <f t="shared" si="10"/>
        <v>0</v>
      </c>
      <c r="I349" s="840">
        <f t="shared" si="11"/>
        <v>68302</v>
      </c>
    </row>
    <row r="350" spans="1:9" s="302" customFormat="1" ht="56.25">
      <c r="A350" s="1152"/>
      <c r="B350" s="475" t="s">
        <v>1887</v>
      </c>
      <c r="C350" s="911">
        <v>249697</v>
      </c>
      <c r="D350" s="911"/>
      <c r="E350" s="911">
        <v>249697</v>
      </c>
      <c r="F350" s="841"/>
      <c r="G350" s="841"/>
      <c r="H350" s="840">
        <f t="shared" si="10"/>
        <v>0</v>
      </c>
      <c r="I350" s="840">
        <f t="shared" si="11"/>
        <v>499394</v>
      </c>
    </row>
    <row r="351" spans="1:9" s="302" customFormat="1" ht="37.5">
      <c r="A351" s="1152"/>
      <c r="B351" s="475" t="s">
        <v>1987</v>
      </c>
      <c r="C351" s="908">
        <v>40000</v>
      </c>
      <c r="D351" s="908"/>
      <c r="E351" s="905">
        <v>40000</v>
      </c>
      <c r="F351" s="841"/>
      <c r="G351" s="841"/>
      <c r="H351" s="840">
        <f t="shared" si="10"/>
        <v>0</v>
      </c>
      <c r="I351" s="840">
        <f t="shared" si="11"/>
        <v>80000</v>
      </c>
    </row>
    <row r="352" spans="1:9" s="302" customFormat="1" ht="56.25">
      <c r="A352" s="1152"/>
      <c r="B352" s="475" t="s">
        <v>1988</v>
      </c>
      <c r="C352" s="908">
        <v>25000</v>
      </c>
      <c r="D352" s="908"/>
      <c r="E352" s="905">
        <v>25000</v>
      </c>
      <c r="F352" s="841"/>
      <c r="G352" s="841"/>
      <c r="H352" s="840">
        <f t="shared" si="10"/>
        <v>0</v>
      </c>
      <c r="I352" s="840">
        <f t="shared" si="11"/>
        <v>50000</v>
      </c>
    </row>
    <row r="353" spans="1:9" s="302" customFormat="1" ht="56.25">
      <c r="A353" s="1152"/>
      <c r="B353" s="475" t="s">
        <v>3058</v>
      </c>
      <c r="C353" s="905">
        <v>25000</v>
      </c>
      <c r="D353" s="905"/>
      <c r="E353" s="905">
        <v>25000</v>
      </c>
      <c r="F353" s="841"/>
      <c r="G353" s="841"/>
      <c r="H353" s="840">
        <f t="shared" si="10"/>
        <v>0</v>
      </c>
      <c r="I353" s="840">
        <f t="shared" si="11"/>
        <v>50000</v>
      </c>
    </row>
    <row r="354" spans="1:9" s="302" customFormat="1" ht="56.25">
      <c r="A354" s="1152"/>
      <c r="B354" s="475" t="s">
        <v>3057</v>
      </c>
      <c r="C354" s="905">
        <v>25000</v>
      </c>
      <c r="D354" s="905"/>
      <c r="E354" s="905">
        <v>25000</v>
      </c>
      <c r="F354" s="841"/>
      <c r="G354" s="841"/>
      <c r="H354" s="840">
        <f t="shared" si="10"/>
        <v>0</v>
      </c>
      <c r="I354" s="840">
        <f t="shared" si="11"/>
        <v>50000</v>
      </c>
    </row>
    <row r="355" spans="1:9" s="302" customFormat="1" ht="56.25">
      <c r="A355" s="1152"/>
      <c r="B355" s="475" t="s">
        <v>1989</v>
      </c>
      <c r="C355" s="908">
        <v>49000</v>
      </c>
      <c r="D355" s="908"/>
      <c r="E355" s="905">
        <v>49000</v>
      </c>
      <c r="F355" s="841"/>
      <c r="G355" s="841"/>
      <c r="H355" s="840">
        <f t="shared" si="10"/>
        <v>0</v>
      </c>
      <c r="I355" s="840">
        <f t="shared" si="11"/>
        <v>98000</v>
      </c>
    </row>
    <row r="356" spans="1:9" s="302" customFormat="1" ht="75">
      <c r="A356" s="1152"/>
      <c r="B356" s="475" t="s">
        <v>1990</v>
      </c>
      <c r="C356" s="908">
        <v>8000</v>
      </c>
      <c r="D356" s="908">
        <v>8000</v>
      </c>
      <c r="E356" s="905"/>
      <c r="F356" s="841"/>
      <c r="G356" s="841"/>
      <c r="H356" s="840">
        <f t="shared" si="10"/>
        <v>0</v>
      </c>
      <c r="I356" s="840">
        <f t="shared" si="11"/>
        <v>16000</v>
      </c>
    </row>
    <row r="357" spans="1:9" s="302" customFormat="1" ht="56.25">
      <c r="A357" s="1152"/>
      <c r="B357" s="475" t="s">
        <v>1991</v>
      </c>
      <c r="C357" s="908">
        <v>49000</v>
      </c>
      <c r="D357" s="908"/>
      <c r="E357" s="905">
        <v>49000</v>
      </c>
      <c r="F357" s="841"/>
      <c r="G357" s="841"/>
      <c r="H357" s="840">
        <f t="shared" si="10"/>
        <v>0</v>
      </c>
      <c r="I357" s="840">
        <f t="shared" si="11"/>
        <v>98000</v>
      </c>
    </row>
    <row r="358" spans="1:9" s="302" customFormat="1" ht="56.25">
      <c r="A358" s="1152"/>
      <c r="B358" s="475" t="s">
        <v>3056</v>
      </c>
      <c r="C358" s="905">
        <v>49000</v>
      </c>
      <c r="D358" s="905"/>
      <c r="E358" s="905">
        <v>49000</v>
      </c>
      <c r="F358" s="841"/>
      <c r="G358" s="841"/>
      <c r="H358" s="840">
        <f t="shared" si="10"/>
        <v>0</v>
      </c>
      <c r="I358" s="840">
        <f t="shared" si="11"/>
        <v>98000</v>
      </c>
    </row>
    <row r="359" spans="1:9" s="302" customFormat="1" ht="75">
      <c r="A359" s="1152"/>
      <c r="B359" s="475" t="s">
        <v>1992</v>
      </c>
      <c r="C359" s="908">
        <v>10500</v>
      </c>
      <c r="D359" s="908"/>
      <c r="E359" s="905">
        <v>10500</v>
      </c>
      <c r="F359" s="841"/>
      <c r="G359" s="841"/>
      <c r="H359" s="840">
        <f t="shared" si="10"/>
        <v>0</v>
      </c>
      <c r="I359" s="840">
        <f t="shared" si="11"/>
        <v>21000</v>
      </c>
    </row>
    <row r="360" spans="1:9" s="302" customFormat="1" ht="75">
      <c r="A360" s="1152"/>
      <c r="B360" s="475" t="s">
        <v>1993</v>
      </c>
      <c r="C360" s="905">
        <v>50000</v>
      </c>
      <c r="D360" s="905">
        <v>50000</v>
      </c>
      <c r="E360" s="905"/>
      <c r="F360" s="841"/>
      <c r="G360" s="841"/>
      <c r="H360" s="840">
        <f t="shared" si="10"/>
        <v>0</v>
      </c>
      <c r="I360" s="840">
        <f t="shared" si="11"/>
        <v>100000</v>
      </c>
    </row>
    <row r="361" spans="1:9" s="302" customFormat="1" ht="112.5">
      <c r="A361" s="1152"/>
      <c r="B361" s="475" t="s">
        <v>3043</v>
      </c>
      <c r="C361" s="908">
        <v>50000</v>
      </c>
      <c r="D361" s="908">
        <v>50000</v>
      </c>
      <c r="E361" s="905"/>
      <c r="F361" s="841"/>
      <c r="G361" s="841"/>
      <c r="H361" s="840">
        <f t="shared" si="10"/>
        <v>0</v>
      </c>
      <c r="I361" s="840">
        <f t="shared" si="11"/>
        <v>100000</v>
      </c>
    </row>
    <row r="362" spans="1:9" s="302" customFormat="1" ht="37.5">
      <c r="A362" s="1152"/>
      <c r="B362" s="535" t="s">
        <v>1994</v>
      </c>
      <c r="C362" s="908">
        <v>20000</v>
      </c>
      <c r="D362" s="908"/>
      <c r="E362" s="905">
        <v>20000</v>
      </c>
      <c r="F362" s="841"/>
      <c r="G362" s="841"/>
      <c r="H362" s="840">
        <f t="shared" si="10"/>
        <v>0</v>
      </c>
      <c r="I362" s="840">
        <f t="shared" si="11"/>
        <v>40000</v>
      </c>
    </row>
    <row r="363" spans="1:9" s="302" customFormat="1" ht="93.75">
      <c r="A363" s="1152"/>
      <c r="B363" s="475" t="s">
        <v>2446</v>
      </c>
      <c r="C363" s="908">
        <v>45000</v>
      </c>
      <c r="D363" s="908">
        <v>45000</v>
      </c>
      <c r="E363" s="905"/>
      <c r="F363" s="841"/>
      <c r="G363" s="841"/>
      <c r="H363" s="840">
        <f t="shared" si="10"/>
        <v>0</v>
      </c>
      <c r="I363" s="840">
        <f t="shared" si="11"/>
        <v>90000</v>
      </c>
    </row>
    <row r="364" spans="1:9" s="302" customFormat="1" ht="56.25">
      <c r="A364" s="1152"/>
      <c r="B364" s="475" t="s">
        <v>2447</v>
      </c>
      <c r="C364" s="908">
        <v>17605</v>
      </c>
      <c r="D364" s="908"/>
      <c r="E364" s="905">
        <v>17605</v>
      </c>
      <c r="F364" s="841"/>
      <c r="G364" s="841"/>
      <c r="H364" s="840">
        <f t="shared" si="10"/>
        <v>0</v>
      </c>
      <c r="I364" s="840">
        <f t="shared" si="11"/>
        <v>35210</v>
      </c>
    </row>
    <row r="365" spans="1:9" s="302" customFormat="1" ht="75">
      <c r="A365" s="1152"/>
      <c r="B365" s="475" t="s">
        <v>3055</v>
      </c>
      <c r="C365" s="905">
        <v>37605</v>
      </c>
      <c r="D365" s="905"/>
      <c r="E365" s="905">
        <v>37605</v>
      </c>
      <c r="F365" s="841"/>
      <c r="G365" s="841"/>
      <c r="H365" s="840">
        <f t="shared" si="10"/>
        <v>0</v>
      </c>
      <c r="I365" s="840">
        <f t="shared" si="11"/>
        <v>75210</v>
      </c>
    </row>
    <row r="366" spans="1:9" s="302" customFormat="1" ht="75">
      <c r="A366" s="1152"/>
      <c r="B366" s="535" t="s">
        <v>2448</v>
      </c>
      <c r="C366" s="908">
        <v>20000</v>
      </c>
      <c r="D366" s="908">
        <v>20000</v>
      </c>
      <c r="E366" s="905"/>
      <c r="F366" s="841"/>
      <c r="G366" s="841"/>
      <c r="H366" s="840">
        <f t="shared" si="10"/>
        <v>0</v>
      </c>
      <c r="I366" s="840">
        <f t="shared" si="11"/>
        <v>40000</v>
      </c>
    </row>
    <row r="367" spans="1:9" s="302" customFormat="1" ht="37.5" hidden="1">
      <c r="A367" s="1152"/>
      <c r="B367" s="535" t="s">
        <v>3039</v>
      </c>
      <c r="C367" s="914">
        <f>10000-10000</f>
        <v>0</v>
      </c>
      <c r="D367" s="914">
        <f>10000-10000</f>
        <v>0</v>
      </c>
      <c r="E367" s="914"/>
      <c r="F367" s="841"/>
      <c r="G367" s="841"/>
      <c r="H367" s="840">
        <f t="shared" si="10"/>
        <v>0</v>
      </c>
      <c r="I367" s="840">
        <f t="shared" si="11"/>
        <v>0</v>
      </c>
    </row>
    <row r="368" spans="1:9" s="302" customFormat="1" ht="75">
      <c r="A368" s="1153"/>
      <c r="B368" s="535" t="s">
        <v>2449</v>
      </c>
      <c r="C368" s="908">
        <v>20000</v>
      </c>
      <c r="D368" s="908">
        <v>20000</v>
      </c>
      <c r="E368" s="905"/>
      <c r="F368" s="841"/>
      <c r="G368" s="841"/>
      <c r="H368" s="840">
        <f t="shared" si="10"/>
        <v>0</v>
      </c>
      <c r="I368" s="840">
        <f t="shared" si="11"/>
        <v>40000</v>
      </c>
    </row>
    <row r="369" spans="1:9" s="302" customFormat="1" ht="93.75">
      <c r="A369" s="1153"/>
      <c r="B369" s="475" t="s">
        <v>2450</v>
      </c>
      <c r="C369" s="908">
        <v>15605</v>
      </c>
      <c r="D369" s="908">
        <v>15605</v>
      </c>
      <c r="E369" s="905"/>
      <c r="F369" s="841"/>
      <c r="G369" s="841"/>
      <c r="H369" s="840">
        <f t="shared" si="10"/>
        <v>0</v>
      </c>
      <c r="I369" s="840">
        <f t="shared" si="11"/>
        <v>31210</v>
      </c>
    </row>
    <row r="370" spans="1:9" s="302" customFormat="1" ht="93.75">
      <c r="A370" s="1153"/>
      <c r="B370" s="475" t="s">
        <v>3041</v>
      </c>
      <c r="C370" s="908">
        <v>45000</v>
      </c>
      <c r="D370" s="908"/>
      <c r="E370" s="905">
        <v>45000</v>
      </c>
      <c r="F370" s="841"/>
      <c r="G370" s="841"/>
      <c r="H370" s="840">
        <f t="shared" si="10"/>
        <v>0</v>
      </c>
      <c r="I370" s="840">
        <f t="shared" si="11"/>
        <v>90000</v>
      </c>
    </row>
    <row r="371" spans="1:9" s="302" customFormat="1" ht="75">
      <c r="A371" s="1153"/>
      <c r="B371" s="475" t="s">
        <v>2679</v>
      </c>
      <c r="C371" s="905">
        <v>10000</v>
      </c>
      <c r="D371" s="905">
        <v>10000</v>
      </c>
      <c r="E371" s="905"/>
      <c r="F371" s="841"/>
      <c r="G371" s="841"/>
      <c r="H371" s="840">
        <f t="shared" si="10"/>
        <v>0</v>
      </c>
      <c r="I371" s="840">
        <f t="shared" si="11"/>
        <v>20000</v>
      </c>
    </row>
    <row r="372" spans="1:9" s="302" customFormat="1" ht="93.75">
      <c r="A372" s="1153"/>
      <c r="B372" s="475" t="s">
        <v>2680</v>
      </c>
      <c r="C372" s="905">
        <v>10000</v>
      </c>
      <c r="D372" s="905">
        <v>10000</v>
      </c>
      <c r="E372" s="905"/>
      <c r="F372" s="841"/>
      <c r="G372" s="841"/>
      <c r="H372" s="840">
        <f t="shared" si="10"/>
        <v>0</v>
      </c>
      <c r="I372" s="840">
        <f t="shared" si="11"/>
        <v>20000</v>
      </c>
    </row>
    <row r="373" spans="1:9" s="302" customFormat="1" ht="93.75">
      <c r="A373" s="1153"/>
      <c r="B373" s="475" t="s">
        <v>2681</v>
      </c>
      <c r="C373" s="905">
        <v>10000</v>
      </c>
      <c r="D373" s="905">
        <v>10000</v>
      </c>
      <c r="E373" s="905"/>
      <c r="F373" s="841"/>
      <c r="G373" s="841"/>
      <c r="H373" s="840">
        <f t="shared" si="10"/>
        <v>0</v>
      </c>
      <c r="I373" s="840">
        <f t="shared" si="11"/>
        <v>20000</v>
      </c>
    </row>
    <row r="374" spans="1:9" s="302" customFormat="1" ht="93.75">
      <c r="A374" s="1153"/>
      <c r="B374" s="475" t="s">
        <v>3191</v>
      </c>
      <c r="C374" s="905">
        <v>10000</v>
      </c>
      <c r="D374" s="905">
        <v>10000</v>
      </c>
      <c r="E374" s="905"/>
      <c r="F374" s="841"/>
      <c r="G374" s="841"/>
      <c r="H374" s="840">
        <f t="shared" si="10"/>
        <v>0</v>
      </c>
      <c r="I374" s="840">
        <f t="shared" si="11"/>
        <v>20000</v>
      </c>
    </row>
    <row r="375" spans="1:9" s="302" customFormat="1" ht="93.75">
      <c r="A375" s="1153"/>
      <c r="B375" s="475" t="s">
        <v>3192</v>
      </c>
      <c r="C375" s="905">
        <v>10000</v>
      </c>
      <c r="D375" s="905">
        <v>10000</v>
      </c>
      <c r="E375" s="905"/>
      <c r="F375" s="841"/>
      <c r="G375" s="841"/>
      <c r="H375" s="840">
        <f t="shared" si="10"/>
        <v>0</v>
      </c>
      <c r="I375" s="840">
        <f t="shared" si="11"/>
        <v>20000</v>
      </c>
    </row>
    <row r="376" spans="1:9" s="302" customFormat="1" ht="93.75">
      <c r="A376" s="1153"/>
      <c r="B376" s="475" t="s">
        <v>2682</v>
      </c>
      <c r="C376" s="905">
        <v>10000</v>
      </c>
      <c r="D376" s="905">
        <v>10000</v>
      </c>
      <c r="E376" s="905"/>
      <c r="F376" s="841"/>
      <c r="G376" s="841"/>
      <c r="H376" s="840">
        <f t="shared" si="10"/>
        <v>0</v>
      </c>
      <c r="I376" s="840">
        <f t="shared" si="11"/>
        <v>20000</v>
      </c>
    </row>
    <row r="377" spans="1:9" s="302" customFormat="1" ht="75">
      <c r="A377" s="1153"/>
      <c r="B377" s="475" t="s">
        <v>2683</v>
      </c>
      <c r="C377" s="905">
        <v>10000</v>
      </c>
      <c r="D377" s="905">
        <v>10000</v>
      </c>
      <c r="E377" s="905"/>
      <c r="F377" s="841"/>
      <c r="G377" s="841"/>
      <c r="H377" s="840">
        <f t="shared" si="10"/>
        <v>0</v>
      </c>
      <c r="I377" s="840">
        <f t="shared" si="11"/>
        <v>20000</v>
      </c>
    </row>
    <row r="378" spans="1:9" s="302" customFormat="1" ht="75">
      <c r="A378" s="1153"/>
      <c r="B378" s="475" t="s">
        <v>2684</v>
      </c>
      <c r="C378" s="905">
        <v>10000</v>
      </c>
      <c r="D378" s="905">
        <v>10000</v>
      </c>
      <c r="E378" s="905"/>
      <c r="F378" s="841"/>
      <c r="G378" s="841"/>
      <c r="H378" s="840">
        <f t="shared" si="10"/>
        <v>0</v>
      </c>
      <c r="I378" s="840">
        <f t="shared" si="11"/>
        <v>20000</v>
      </c>
    </row>
    <row r="379" spans="1:9" s="302" customFormat="1" ht="93.75">
      <c r="A379" s="1153"/>
      <c r="B379" s="475" t="s">
        <v>2685</v>
      </c>
      <c r="C379" s="905">
        <v>10000</v>
      </c>
      <c r="D379" s="905">
        <v>10000</v>
      </c>
      <c r="E379" s="905"/>
      <c r="F379" s="841"/>
      <c r="G379" s="841"/>
      <c r="H379" s="840">
        <f t="shared" si="10"/>
        <v>0</v>
      </c>
      <c r="I379" s="840">
        <f t="shared" si="11"/>
        <v>20000</v>
      </c>
    </row>
    <row r="380" spans="1:9" s="302" customFormat="1" ht="75">
      <c r="A380" s="1153"/>
      <c r="B380" s="475" t="s">
        <v>2686</v>
      </c>
      <c r="C380" s="905">
        <v>10000</v>
      </c>
      <c r="D380" s="905">
        <v>10000</v>
      </c>
      <c r="E380" s="905"/>
      <c r="F380" s="841"/>
      <c r="G380" s="841"/>
      <c r="H380" s="840">
        <f t="shared" si="10"/>
        <v>0</v>
      </c>
      <c r="I380" s="840">
        <f t="shared" si="11"/>
        <v>20000</v>
      </c>
    </row>
    <row r="381" spans="1:9" s="302" customFormat="1" ht="75">
      <c r="A381" s="1153"/>
      <c r="B381" s="475" t="s">
        <v>2687</v>
      </c>
      <c r="C381" s="905">
        <v>10000</v>
      </c>
      <c r="D381" s="905">
        <v>10000</v>
      </c>
      <c r="E381" s="905"/>
      <c r="F381" s="841"/>
      <c r="G381" s="841"/>
      <c r="H381" s="840">
        <f t="shared" si="10"/>
        <v>0</v>
      </c>
      <c r="I381" s="840">
        <f t="shared" si="11"/>
        <v>20000</v>
      </c>
    </row>
    <row r="382" spans="1:9" s="302" customFormat="1" ht="75">
      <c r="A382" s="1153"/>
      <c r="B382" s="475" t="s">
        <v>2688</v>
      </c>
      <c r="C382" s="905">
        <v>10000</v>
      </c>
      <c r="D382" s="905">
        <v>10000</v>
      </c>
      <c r="E382" s="905"/>
      <c r="F382" s="841"/>
      <c r="G382" s="841"/>
      <c r="H382" s="840">
        <f t="shared" si="10"/>
        <v>0</v>
      </c>
      <c r="I382" s="840">
        <f t="shared" si="11"/>
        <v>20000</v>
      </c>
    </row>
    <row r="383" spans="1:9" s="302" customFormat="1" ht="93.75">
      <c r="A383" s="1153"/>
      <c r="B383" s="475" t="s">
        <v>2689</v>
      </c>
      <c r="C383" s="905">
        <v>10000</v>
      </c>
      <c r="D383" s="905">
        <v>10000</v>
      </c>
      <c r="E383" s="905"/>
      <c r="F383" s="841"/>
      <c r="G383" s="841"/>
      <c r="H383" s="840">
        <f t="shared" si="10"/>
        <v>0</v>
      </c>
      <c r="I383" s="840">
        <f t="shared" si="11"/>
        <v>20000</v>
      </c>
    </row>
    <row r="384" spans="1:9" s="302" customFormat="1" ht="93.75">
      <c r="A384" s="1153"/>
      <c r="B384" s="475" t="s">
        <v>2690</v>
      </c>
      <c r="C384" s="905">
        <v>10000</v>
      </c>
      <c r="D384" s="905">
        <v>10000</v>
      </c>
      <c r="E384" s="905"/>
      <c r="F384" s="841"/>
      <c r="G384" s="841"/>
      <c r="H384" s="840">
        <f t="shared" si="10"/>
        <v>0</v>
      </c>
      <c r="I384" s="840">
        <f t="shared" si="11"/>
        <v>20000</v>
      </c>
    </row>
    <row r="385" spans="1:9" s="302" customFormat="1" ht="75">
      <c r="A385" s="1153"/>
      <c r="B385" s="475" t="s">
        <v>2691</v>
      </c>
      <c r="C385" s="915">
        <v>62000</v>
      </c>
      <c r="D385" s="915">
        <v>62000</v>
      </c>
      <c r="E385" s="914"/>
      <c r="F385" s="841"/>
      <c r="G385" s="841"/>
      <c r="H385" s="840">
        <f t="shared" si="10"/>
        <v>0</v>
      </c>
      <c r="I385" s="840">
        <f t="shared" si="11"/>
        <v>124000</v>
      </c>
    </row>
    <row r="386" spans="1:9" s="302" customFormat="1" ht="75">
      <c r="A386" s="1153"/>
      <c r="B386" s="475" t="s">
        <v>2692</v>
      </c>
      <c r="C386" s="915">
        <v>15000</v>
      </c>
      <c r="D386" s="915">
        <v>15000</v>
      </c>
      <c r="E386" s="914"/>
      <c r="F386" s="841"/>
      <c r="G386" s="841"/>
      <c r="H386" s="840">
        <f t="shared" si="10"/>
        <v>0</v>
      </c>
      <c r="I386" s="840">
        <f t="shared" si="11"/>
        <v>30000</v>
      </c>
    </row>
    <row r="387" spans="1:9" s="302" customFormat="1" ht="75">
      <c r="A387" s="1153"/>
      <c r="B387" s="475" t="s">
        <v>2693</v>
      </c>
      <c r="C387" s="915">
        <v>16000</v>
      </c>
      <c r="D387" s="915"/>
      <c r="E387" s="914">
        <v>16000</v>
      </c>
      <c r="F387" s="841"/>
      <c r="G387" s="841"/>
      <c r="H387" s="840">
        <f t="shared" si="10"/>
        <v>0</v>
      </c>
      <c r="I387" s="840">
        <f t="shared" si="11"/>
        <v>32000</v>
      </c>
    </row>
    <row r="388" spans="1:9" s="302" customFormat="1" ht="93.75">
      <c r="A388" s="1153"/>
      <c r="B388" s="475" t="s">
        <v>2694</v>
      </c>
      <c r="C388" s="915">
        <v>16000</v>
      </c>
      <c r="D388" s="915"/>
      <c r="E388" s="914">
        <v>16000</v>
      </c>
      <c r="F388" s="841"/>
      <c r="G388" s="841"/>
      <c r="H388" s="840">
        <f t="shared" si="10"/>
        <v>0</v>
      </c>
      <c r="I388" s="840">
        <f t="shared" si="11"/>
        <v>32000</v>
      </c>
    </row>
    <row r="389" spans="1:9" s="302" customFormat="1" ht="75">
      <c r="A389" s="1153"/>
      <c r="B389" s="475" t="s">
        <v>2695</v>
      </c>
      <c r="C389" s="915">
        <v>16000</v>
      </c>
      <c r="D389" s="915"/>
      <c r="E389" s="914">
        <v>16000</v>
      </c>
      <c r="F389" s="841"/>
      <c r="G389" s="841"/>
      <c r="H389" s="840">
        <f t="shared" si="10"/>
        <v>0</v>
      </c>
      <c r="I389" s="840">
        <f t="shared" si="11"/>
        <v>32000</v>
      </c>
    </row>
    <row r="390" spans="1:9" s="302" customFormat="1" ht="75">
      <c r="A390" s="1153"/>
      <c r="B390" s="846" t="s">
        <v>2696</v>
      </c>
      <c r="C390" s="905">
        <v>49000</v>
      </c>
      <c r="D390" s="932"/>
      <c r="E390" s="932">
        <v>49000</v>
      </c>
      <c r="F390" s="841"/>
      <c r="G390" s="841"/>
      <c r="H390" s="840">
        <f t="shared" si="10"/>
        <v>0</v>
      </c>
      <c r="I390" s="840">
        <f t="shared" si="11"/>
        <v>98000</v>
      </c>
    </row>
    <row r="391" spans="1:9" s="302" customFormat="1" ht="37.5">
      <c r="A391" s="1153"/>
      <c r="B391" s="535" t="s">
        <v>2697</v>
      </c>
      <c r="C391" s="914">
        <v>49000</v>
      </c>
      <c r="D391" s="914"/>
      <c r="E391" s="914">
        <v>49000</v>
      </c>
      <c r="F391" s="841"/>
      <c r="G391" s="841"/>
      <c r="H391" s="840">
        <f t="shared" si="10"/>
        <v>0</v>
      </c>
      <c r="I391" s="840">
        <f t="shared" si="11"/>
        <v>98000</v>
      </c>
    </row>
    <row r="392" spans="1:9" s="302" customFormat="1" ht="93.75">
      <c r="A392" s="1153"/>
      <c r="B392" s="475" t="s">
        <v>2698</v>
      </c>
      <c r="C392" s="908">
        <v>15000</v>
      </c>
      <c r="D392" s="908">
        <v>7800</v>
      </c>
      <c r="E392" s="905">
        <v>7200</v>
      </c>
      <c r="F392" s="841"/>
      <c r="G392" s="841"/>
      <c r="H392" s="840">
        <f t="shared" si="10"/>
        <v>0</v>
      </c>
      <c r="I392" s="840">
        <f t="shared" si="11"/>
        <v>30000</v>
      </c>
    </row>
    <row r="393" spans="1:9" s="302" customFormat="1" ht="56.25">
      <c r="A393" s="1153"/>
      <c r="B393" s="475" t="s">
        <v>2699</v>
      </c>
      <c r="C393" s="908">
        <v>5000</v>
      </c>
      <c r="D393" s="908">
        <v>5000</v>
      </c>
      <c r="E393" s="905"/>
      <c r="F393" s="841"/>
      <c r="G393" s="841"/>
      <c r="H393" s="840">
        <f t="shared" ref="H393:H456" si="12">E393+D393-C393</f>
        <v>0</v>
      </c>
      <c r="I393" s="840">
        <f t="shared" ref="I393:I456" si="13">SUM(C393:E393)</f>
        <v>10000</v>
      </c>
    </row>
    <row r="394" spans="1:9" s="302" customFormat="1" ht="75">
      <c r="A394" s="1153"/>
      <c r="B394" s="475" t="s">
        <v>2700</v>
      </c>
      <c r="C394" s="908">
        <v>6000</v>
      </c>
      <c r="D394" s="908">
        <v>6000</v>
      </c>
      <c r="E394" s="905"/>
      <c r="F394" s="841"/>
      <c r="G394" s="841"/>
      <c r="H394" s="840">
        <f t="shared" si="12"/>
        <v>0</v>
      </c>
      <c r="I394" s="840">
        <f t="shared" si="13"/>
        <v>12000</v>
      </c>
    </row>
    <row r="395" spans="1:9" s="302" customFormat="1" ht="37.5">
      <c r="A395" s="1153"/>
      <c r="B395" s="475" t="s">
        <v>2701</v>
      </c>
      <c r="C395" s="908">
        <v>10000</v>
      </c>
      <c r="D395" s="908">
        <v>10000</v>
      </c>
      <c r="E395" s="905"/>
      <c r="F395" s="841"/>
      <c r="G395" s="841"/>
      <c r="H395" s="840">
        <f t="shared" si="12"/>
        <v>0</v>
      </c>
      <c r="I395" s="840">
        <f t="shared" si="13"/>
        <v>20000</v>
      </c>
    </row>
    <row r="396" spans="1:9" s="302" customFormat="1" ht="56.25">
      <c r="A396" s="1153"/>
      <c r="B396" s="475" t="s">
        <v>2702</v>
      </c>
      <c r="C396" s="908">
        <v>4865</v>
      </c>
      <c r="D396" s="908">
        <v>4865</v>
      </c>
      <c r="E396" s="905"/>
      <c r="F396" s="841"/>
      <c r="G396" s="841"/>
      <c r="H396" s="840">
        <f t="shared" si="12"/>
        <v>0</v>
      </c>
      <c r="I396" s="840">
        <f t="shared" si="13"/>
        <v>9730</v>
      </c>
    </row>
    <row r="397" spans="1:9" s="302" customFormat="1" ht="75">
      <c r="A397" s="1153"/>
      <c r="B397" s="846" t="s">
        <v>2703</v>
      </c>
      <c r="C397" s="905">
        <v>35000</v>
      </c>
      <c r="D397" s="908"/>
      <c r="E397" s="905">
        <v>35000</v>
      </c>
      <c r="F397" s="841"/>
      <c r="G397" s="841"/>
      <c r="H397" s="840">
        <f t="shared" si="12"/>
        <v>0</v>
      </c>
      <c r="I397" s="840">
        <f t="shared" si="13"/>
        <v>70000</v>
      </c>
    </row>
    <row r="398" spans="1:9" s="302" customFormat="1" ht="37.5">
      <c r="A398" s="1153"/>
      <c r="B398" s="846" t="s">
        <v>2704</v>
      </c>
      <c r="C398" s="905">
        <v>15000</v>
      </c>
      <c r="D398" s="908"/>
      <c r="E398" s="905">
        <v>15000</v>
      </c>
      <c r="F398" s="841"/>
      <c r="G398" s="841"/>
      <c r="H398" s="840">
        <f t="shared" si="12"/>
        <v>0</v>
      </c>
      <c r="I398" s="840">
        <f t="shared" si="13"/>
        <v>30000</v>
      </c>
    </row>
    <row r="399" spans="1:9" s="302" customFormat="1" ht="75">
      <c r="A399" s="1153"/>
      <c r="B399" s="846" t="s">
        <v>2705</v>
      </c>
      <c r="C399" s="905">
        <v>5000</v>
      </c>
      <c r="D399" s="908">
        <v>5000</v>
      </c>
      <c r="E399" s="905"/>
      <c r="F399" s="841"/>
      <c r="G399" s="841"/>
      <c r="H399" s="840">
        <f t="shared" si="12"/>
        <v>0</v>
      </c>
      <c r="I399" s="840">
        <f t="shared" si="13"/>
        <v>10000</v>
      </c>
    </row>
    <row r="400" spans="1:9" s="302" customFormat="1" ht="56.25">
      <c r="A400" s="1153"/>
      <c r="B400" s="846" t="s">
        <v>2706</v>
      </c>
      <c r="C400" s="905">
        <v>36000</v>
      </c>
      <c r="D400" s="908"/>
      <c r="E400" s="905">
        <v>36000</v>
      </c>
      <c r="F400" s="841"/>
      <c r="G400" s="841"/>
      <c r="H400" s="840">
        <f t="shared" si="12"/>
        <v>0</v>
      </c>
      <c r="I400" s="840">
        <f t="shared" si="13"/>
        <v>72000</v>
      </c>
    </row>
    <row r="401" spans="1:9" s="302" customFormat="1" ht="37.5">
      <c r="A401" s="1153"/>
      <c r="B401" s="846" t="s">
        <v>2707</v>
      </c>
      <c r="C401" s="905">
        <v>49000</v>
      </c>
      <c r="D401" s="908">
        <v>49000</v>
      </c>
      <c r="E401" s="905">
        <f>49000-49000</f>
        <v>0</v>
      </c>
      <c r="F401" s="841"/>
      <c r="G401" s="841"/>
      <c r="H401" s="840">
        <f t="shared" si="12"/>
        <v>0</v>
      </c>
      <c r="I401" s="840">
        <f t="shared" si="13"/>
        <v>98000</v>
      </c>
    </row>
    <row r="402" spans="1:9" s="302" customFormat="1" ht="56.25">
      <c r="A402" s="1153"/>
      <c r="B402" s="475" t="s">
        <v>3040</v>
      </c>
      <c r="C402" s="908">
        <v>10000</v>
      </c>
      <c r="D402" s="908">
        <v>10000</v>
      </c>
      <c r="E402" s="905"/>
      <c r="F402" s="841"/>
      <c r="G402" s="841"/>
      <c r="H402" s="840">
        <f t="shared" si="12"/>
        <v>0</v>
      </c>
      <c r="I402" s="840">
        <f t="shared" si="13"/>
        <v>20000</v>
      </c>
    </row>
    <row r="403" spans="1:9" s="302" customFormat="1" ht="75">
      <c r="A403" s="1153"/>
      <c r="B403" s="475" t="s">
        <v>3151</v>
      </c>
      <c r="C403" s="908">
        <v>10300</v>
      </c>
      <c r="D403" s="908"/>
      <c r="E403" s="905">
        <v>10300</v>
      </c>
      <c r="F403" s="841"/>
      <c r="G403" s="841"/>
      <c r="H403" s="840">
        <f t="shared" si="12"/>
        <v>0</v>
      </c>
      <c r="I403" s="840">
        <f t="shared" si="13"/>
        <v>20600</v>
      </c>
    </row>
    <row r="404" spans="1:9" s="302" customFormat="1" ht="75">
      <c r="A404" s="1153"/>
      <c r="B404" s="535" t="s">
        <v>3152</v>
      </c>
      <c r="C404" s="914">
        <v>18641</v>
      </c>
      <c r="D404" s="914">
        <v>18641</v>
      </c>
      <c r="E404" s="914"/>
      <c r="F404" s="841"/>
      <c r="G404" s="841"/>
      <c r="H404" s="840">
        <f t="shared" si="12"/>
        <v>0</v>
      </c>
      <c r="I404" s="840">
        <f t="shared" si="13"/>
        <v>37282</v>
      </c>
    </row>
    <row r="405" spans="1:9" s="302" customFormat="1" ht="56.25">
      <c r="A405" s="1153"/>
      <c r="B405" s="535" t="s">
        <v>3153</v>
      </c>
      <c r="C405" s="914">
        <v>32000</v>
      </c>
      <c r="D405" s="914">
        <v>32000</v>
      </c>
      <c r="E405" s="914"/>
      <c r="F405" s="841"/>
      <c r="G405" s="841"/>
      <c r="H405" s="840">
        <f t="shared" si="12"/>
        <v>0</v>
      </c>
      <c r="I405" s="840">
        <f t="shared" si="13"/>
        <v>64000</v>
      </c>
    </row>
    <row r="406" spans="1:9" s="302" customFormat="1" ht="75">
      <c r="A406" s="1153"/>
      <c r="B406" s="535" t="s">
        <v>3154</v>
      </c>
      <c r="C406" s="914">
        <v>5800</v>
      </c>
      <c r="D406" s="914">
        <v>5800</v>
      </c>
      <c r="E406" s="914"/>
      <c r="F406" s="841"/>
      <c r="G406" s="841"/>
      <c r="H406" s="840">
        <f t="shared" si="12"/>
        <v>0</v>
      </c>
      <c r="I406" s="840">
        <f t="shared" si="13"/>
        <v>11600</v>
      </c>
    </row>
    <row r="407" spans="1:9" s="302" customFormat="1" hidden="1">
      <c r="A407" s="1153"/>
      <c r="B407" s="475"/>
      <c r="C407" s="916"/>
      <c r="D407" s="916"/>
      <c r="E407" s="905"/>
      <c r="F407" s="841"/>
      <c r="G407" s="841"/>
      <c r="H407" s="840">
        <f t="shared" si="12"/>
        <v>0</v>
      </c>
      <c r="I407" s="840">
        <f t="shared" si="13"/>
        <v>0</v>
      </c>
    </row>
    <row r="408" spans="1:9" s="302" customFormat="1" hidden="1">
      <c r="A408" s="1153"/>
      <c r="B408" s="475"/>
      <c r="C408" s="916"/>
      <c r="D408" s="916"/>
      <c r="E408" s="905"/>
      <c r="F408" s="841"/>
      <c r="G408" s="841"/>
      <c r="H408" s="840">
        <f t="shared" si="12"/>
        <v>0</v>
      </c>
      <c r="I408" s="840">
        <f t="shared" si="13"/>
        <v>0</v>
      </c>
    </row>
    <row r="409" spans="1:9" s="302" customFormat="1" hidden="1">
      <c r="A409" s="1153"/>
      <c r="B409" s="475"/>
      <c r="C409" s="916"/>
      <c r="D409" s="916"/>
      <c r="E409" s="905"/>
      <c r="F409" s="841"/>
      <c r="G409" s="841"/>
      <c r="H409" s="840">
        <f t="shared" si="12"/>
        <v>0</v>
      </c>
      <c r="I409" s="840">
        <f t="shared" si="13"/>
        <v>0</v>
      </c>
    </row>
    <row r="410" spans="1:9" s="302" customFormat="1" hidden="1">
      <c r="A410" s="1153"/>
      <c r="B410" s="475"/>
      <c r="C410" s="916"/>
      <c r="D410" s="916"/>
      <c r="E410" s="905"/>
      <c r="F410" s="841"/>
      <c r="G410" s="841"/>
      <c r="H410" s="840">
        <f t="shared" si="12"/>
        <v>0</v>
      </c>
      <c r="I410" s="840">
        <f t="shared" si="13"/>
        <v>0</v>
      </c>
    </row>
    <row r="411" spans="1:9" s="302" customFormat="1" hidden="1">
      <c r="A411" s="1153"/>
      <c r="B411" s="475"/>
      <c r="C411" s="916"/>
      <c r="D411" s="916"/>
      <c r="E411" s="905"/>
      <c r="F411" s="841"/>
      <c r="G411" s="841"/>
      <c r="H411" s="840">
        <f t="shared" si="12"/>
        <v>0</v>
      </c>
      <c r="I411" s="840">
        <f t="shared" si="13"/>
        <v>0</v>
      </c>
    </row>
    <row r="412" spans="1:9" s="302" customFormat="1" hidden="1">
      <c r="A412" s="1153"/>
      <c r="B412" s="475"/>
      <c r="C412" s="916"/>
      <c r="D412" s="916"/>
      <c r="E412" s="905"/>
      <c r="F412" s="841"/>
      <c r="G412" s="841"/>
      <c r="H412" s="840">
        <f t="shared" si="12"/>
        <v>0</v>
      </c>
      <c r="I412" s="840">
        <f t="shared" si="13"/>
        <v>0</v>
      </c>
    </row>
    <row r="413" spans="1:9" s="302" customFormat="1" hidden="1">
      <c r="A413" s="1153"/>
      <c r="B413" s="475"/>
      <c r="C413" s="916"/>
      <c r="D413" s="916"/>
      <c r="E413" s="905"/>
      <c r="F413" s="841"/>
      <c r="G413" s="841"/>
      <c r="H413" s="840">
        <f t="shared" si="12"/>
        <v>0</v>
      </c>
      <c r="I413" s="840">
        <f t="shared" si="13"/>
        <v>0</v>
      </c>
    </row>
    <row r="414" spans="1:9" s="302" customFormat="1" hidden="1">
      <c r="A414" s="1153"/>
      <c r="B414" s="475"/>
      <c r="C414" s="916"/>
      <c r="D414" s="916"/>
      <c r="E414" s="905"/>
      <c r="F414" s="841"/>
      <c r="G414" s="841"/>
      <c r="H414" s="840">
        <f t="shared" si="12"/>
        <v>0</v>
      </c>
      <c r="I414" s="840">
        <f t="shared" si="13"/>
        <v>0</v>
      </c>
    </row>
    <row r="415" spans="1:9" s="302" customFormat="1" hidden="1">
      <c r="A415" s="1153"/>
      <c r="B415" s="475"/>
      <c r="C415" s="916"/>
      <c r="D415" s="916"/>
      <c r="E415" s="905"/>
      <c r="F415" s="841"/>
      <c r="G415" s="841"/>
      <c r="H415" s="840">
        <f t="shared" si="12"/>
        <v>0</v>
      </c>
      <c r="I415" s="840">
        <f t="shared" si="13"/>
        <v>0</v>
      </c>
    </row>
    <row r="416" spans="1:9" s="302" customFormat="1" hidden="1">
      <c r="A416" s="1153"/>
      <c r="B416" s="475"/>
      <c r="C416" s="916"/>
      <c r="D416" s="916"/>
      <c r="E416" s="905"/>
      <c r="F416" s="841"/>
      <c r="G416" s="841"/>
      <c r="H416" s="840">
        <f t="shared" si="12"/>
        <v>0</v>
      </c>
      <c r="I416" s="840">
        <f t="shared" si="13"/>
        <v>0</v>
      </c>
    </row>
    <row r="417" spans="1:9" s="302" customFormat="1" hidden="1">
      <c r="A417" s="1153"/>
      <c r="B417" s="475"/>
      <c r="C417" s="916"/>
      <c r="D417" s="916"/>
      <c r="E417" s="905"/>
      <c r="F417" s="841"/>
      <c r="G417" s="841"/>
      <c r="H417" s="840">
        <f t="shared" si="12"/>
        <v>0</v>
      </c>
      <c r="I417" s="840">
        <f t="shared" si="13"/>
        <v>0</v>
      </c>
    </row>
    <row r="418" spans="1:9" s="302" customFormat="1" hidden="1">
      <c r="A418" s="1153"/>
      <c r="B418" s="475"/>
      <c r="C418" s="916"/>
      <c r="D418" s="916"/>
      <c r="E418" s="905"/>
      <c r="F418" s="841"/>
      <c r="G418" s="841"/>
      <c r="H418" s="840">
        <f t="shared" si="12"/>
        <v>0</v>
      </c>
      <c r="I418" s="840">
        <f t="shared" si="13"/>
        <v>0</v>
      </c>
    </row>
    <row r="419" spans="1:9" s="302" customFormat="1" hidden="1">
      <c r="A419" s="1153"/>
      <c r="B419" s="475"/>
      <c r="C419" s="916"/>
      <c r="D419" s="916"/>
      <c r="E419" s="905"/>
      <c r="F419" s="841"/>
      <c r="G419" s="841"/>
      <c r="H419" s="840">
        <f t="shared" si="12"/>
        <v>0</v>
      </c>
      <c r="I419" s="840">
        <f t="shared" si="13"/>
        <v>0</v>
      </c>
    </row>
    <row r="420" spans="1:9" s="302" customFormat="1" hidden="1">
      <c r="A420" s="1153"/>
      <c r="B420" s="475"/>
      <c r="C420" s="916"/>
      <c r="D420" s="916"/>
      <c r="E420" s="905"/>
      <c r="F420" s="841"/>
      <c r="G420" s="841"/>
      <c r="H420" s="840">
        <f t="shared" si="12"/>
        <v>0</v>
      </c>
      <c r="I420" s="840">
        <f t="shared" si="13"/>
        <v>0</v>
      </c>
    </row>
    <row r="421" spans="1:9" s="302" customFormat="1" hidden="1">
      <c r="A421" s="1153"/>
      <c r="B421" s="475"/>
      <c r="C421" s="916"/>
      <c r="D421" s="916"/>
      <c r="E421" s="905"/>
      <c r="F421" s="841"/>
      <c r="G421" s="841"/>
      <c r="H421" s="840">
        <f t="shared" si="12"/>
        <v>0</v>
      </c>
      <c r="I421" s="840">
        <f t="shared" si="13"/>
        <v>0</v>
      </c>
    </row>
    <row r="422" spans="1:9" s="302" customFormat="1" hidden="1">
      <c r="A422" s="1153"/>
      <c r="B422" s="475"/>
      <c r="C422" s="916"/>
      <c r="D422" s="916"/>
      <c r="E422" s="905"/>
      <c r="F422" s="841"/>
      <c r="G422" s="841"/>
      <c r="H422" s="840">
        <f t="shared" si="12"/>
        <v>0</v>
      </c>
      <c r="I422" s="840">
        <f t="shared" si="13"/>
        <v>0</v>
      </c>
    </row>
    <row r="423" spans="1:9" s="302" customFormat="1" hidden="1">
      <c r="A423" s="1153"/>
      <c r="B423" s="475"/>
      <c r="C423" s="916"/>
      <c r="D423" s="916"/>
      <c r="E423" s="905"/>
      <c r="F423" s="841"/>
      <c r="G423" s="841"/>
      <c r="H423" s="840">
        <f t="shared" si="12"/>
        <v>0</v>
      </c>
      <c r="I423" s="840">
        <f t="shared" si="13"/>
        <v>0</v>
      </c>
    </row>
    <row r="424" spans="1:9" s="302" customFormat="1" hidden="1">
      <c r="A424" s="1153"/>
      <c r="B424" s="475"/>
      <c r="C424" s="916"/>
      <c r="D424" s="916"/>
      <c r="E424" s="905"/>
      <c r="F424" s="841"/>
      <c r="G424" s="841"/>
      <c r="H424" s="840">
        <f t="shared" si="12"/>
        <v>0</v>
      </c>
      <c r="I424" s="840">
        <f t="shared" si="13"/>
        <v>0</v>
      </c>
    </row>
    <row r="425" spans="1:9" s="302" customFormat="1" hidden="1">
      <c r="A425" s="1153"/>
      <c r="B425" s="475"/>
      <c r="C425" s="916"/>
      <c r="D425" s="916"/>
      <c r="E425" s="905"/>
      <c r="F425" s="841"/>
      <c r="G425" s="841"/>
      <c r="H425" s="840">
        <f t="shared" si="12"/>
        <v>0</v>
      </c>
      <c r="I425" s="840">
        <f t="shared" si="13"/>
        <v>0</v>
      </c>
    </row>
    <row r="426" spans="1:9" s="302" customFormat="1" hidden="1">
      <c r="A426" s="1153"/>
      <c r="B426" s="475"/>
      <c r="C426" s="916"/>
      <c r="D426" s="916"/>
      <c r="E426" s="905"/>
      <c r="F426" s="841"/>
      <c r="G426" s="841"/>
      <c r="H426" s="840">
        <f t="shared" si="12"/>
        <v>0</v>
      </c>
      <c r="I426" s="840">
        <f t="shared" si="13"/>
        <v>0</v>
      </c>
    </row>
    <row r="427" spans="1:9" s="302" customFormat="1" hidden="1">
      <c r="A427" s="1153"/>
      <c r="B427" s="475"/>
      <c r="C427" s="916"/>
      <c r="D427" s="916"/>
      <c r="E427" s="905"/>
      <c r="F427" s="841"/>
      <c r="G427" s="841"/>
      <c r="H427" s="840">
        <f t="shared" si="12"/>
        <v>0</v>
      </c>
      <c r="I427" s="840">
        <f t="shared" si="13"/>
        <v>0</v>
      </c>
    </row>
    <row r="428" spans="1:9" s="302" customFormat="1" hidden="1">
      <c r="A428" s="1153"/>
      <c r="B428" s="475"/>
      <c r="C428" s="916"/>
      <c r="D428" s="916"/>
      <c r="E428" s="905"/>
      <c r="F428" s="841"/>
      <c r="G428" s="841"/>
      <c r="H428" s="840">
        <f t="shared" si="12"/>
        <v>0</v>
      </c>
      <c r="I428" s="840">
        <f t="shared" si="13"/>
        <v>0</v>
      </c>
    </row>
    <row r="429" spans="1:9" s="302" customFormat="1" hidden="1">
      <c r="A429" s="1153"/>
      <c r="B429" s="475"/>
      <c r="C429" s="916"/>
      <c r="D429" s="916"/>
      <c r="E429" s="905"/>
      <c r="F429" s="841"/>
      <c r="G429" s="841"/>
      <c r="H429" s="840">
        <f t="shared" si="12"/>
        <v>0</v>
      </c>
      <c r="I429" s="840">
        <f t="shared" si="13"/>
        <v>0</v>
      </c>
    </row>
    <row r="430" spans="1:9" s="302" customFormat="1" hidden="1">
      <c r="A430" s="1153"/>
      <c r="B430" s="475"/>
      <c r="C430" s="916"/>
      <c r="D430" s="916"/>
      <c r="E430" s="905"/>
      <c r="F430" s="841"/>
      <c r="G430" s="841"/>
      <c r="H430" s="840">
        <f t="shared" si="12"/>
        <v>0</v>
      </c>
      <c r="I430" s="840">
        <f t="shared" si="13"/>
        <v>0</v>
      </c>
    </row>
    <row r="431" spans="1:9" s="302" customFormat="1" hidden="1">
      <c r="A431" s="1153"/>
      <c r="B431" s="475"/>
      <c r="C431" s="916"/>
      <c r="D431" s="916"/>
      <c r="E431" s="905"/>
      <c r="F431" s="841"/>
      <c r="G431" s="841"/>
      <c r="H431" s="840">
        <f t="shared" si="12"/>
        <v>0</v>
      </c>
      <c r="I431" s="840">
        <f t="shared" si="13"/>
        <v>0</v>
      </c>
    </row>
    <row r="432" spans="1:9" s="302" customFormat="1" hidden="1">
      <c r="A432" s="1153"/>
      <c r="B432" s="475"/>
      <c r="C432" s="916"/>
      <c r="D432" s="916"/>
      <c r="E432" s="905"/>
      <c r="F432" s="841"/>
      <c r="G432" s="841"/>
      <c r="H432" s="840">
        <f t="shared" si="12"/>
        <v>0</v>
      </c>
      <c r="I432" s="840">
        <f t="shared" si="13"/>
        <v>0</v>
      </c>
    </row>
    <row r="433" spans="1:9" s="302" customFormat="1" hidden="1">
      <c r="A433" s="1153"/>
      <c r="B433" s="864"/>
      <c r="C433" s="917"/>
      <c r="D433" s="917"/>
      <c r="E433" s="918"/>
      <c r="F433" s="841"/>
      <c r="G433" s="841"/>
      <c r="H433" s="840">
        <f t="shared" si="12"/>
        <v>0</v>
      </c>
      <c r="I433" s="840">
        <f t="shared" si="13"/>
        <v>0</v>
      </c>
    </row>
    <row r="434" spans="1:9">
      <c r="A434" s="1151"/>
      <c r="B434" s="461" t="s">
        <v>253</v>
      </c>
      <c r="C434" s="919">
        <f>SUBTOTAL(9,C319:C433)</f>
        <v>6077752</v>
      </c>
      <c r="D434" s="919">
        <f>SUBTOTAL(9,D319:D433)</f>
        <v>4704467</v>
      </c>
      <c r="E434" s="919">
        <f>SUBTOTAL(9,E319:E433)</f>
        <v>1373285</v>
      </c>
      <c r="F434" s="850">
        <f>SUM(F319:F328)</f>
        <v>0</v>
      </c>
      <c r="G434" s="851">
        <f>SUM(G319:G328)</f>
        <v>0</v>
      </c>
      <c r="H434" s="840">
        <f t="shared" si="12"/>
        <v>0</v>
      </c>
      <c r="I434" s="840">
        <f t="shared" si="13"/>
        <v>12155504</v>
      </c>
    </row>
    <row r="435" spans="1:9" ht="75">
      <c r="A435" s="1081" t="s">
        <v>61</v>
      </c>
      <c r="B435" s="887" t="s">
        <v>952</v>
      </c>
      <c r="C435" s="907">
        <v>78100</v>
      </c>
      <c r="D435" s="530">
        <v>78100</v>
      </c>
      <c r="E435" s="907"/>
      <c r="F435" s="852"/>
      <c r="G435" s="853"/>
      <c r="H435" s="840">
        <f t="shared" si="12"/>
        <v>0</v>
      </c>
      <c r="I435" s="840">
        <f t="shared" si="13"/>
        <v>156200</v>
      </c>
    </row>
    <row r="436" spans="1:9" ht="112.5">
      <c r="A436" s="1156"/>
      <c r="B436" s="475" t="s">
        <v>953</v>
      </c>
      <c r="C436" s="530">
        <f>150000</f>
        <v>150000</v>
      </c>
      <c r="D436" s="530"/>
      <c r="E436" s="905">
        <f>150000</f>
        <v>150000</v>
      </c>
      <c r="F436" s="841"/>
      <c r="G436" s="841"/>
      <c r="H436" s="840">
        <f t="shared" si="12"/>
        <v>0</v>
      </c>
      <c r="I436" s="840">
        <f t="shared" si="13"/>
        <v>300000</v>
      </c>
    </row>
    <row r="437" spans="1:9" ht="112.5">
      <c r="A437" s="1156"/>
      <c r="B437" s="475" t="s">
        <v>1218</v>
      </c>
      <c r="C437" s="530">
        <v>96278</v>
      </c>
      <c r="D437" s="530"/>
      <c r="E437" s="905">
        <v>96278</v>
      </c>
      <c r="F437" s="841"/>
      <c r="G437" s="841"/>
      <c r="H437" s="840">
        <f t="shared" si="12"/>
        <v>0</v>
      </c>
      <c r="I437" s="840">
        <f t="shared" si="13"/>
        <v>192556</v>
      </c>
    </row>
    <row r="438" spans="1:9" ht="75">
      <c r="A438" s="1156"/>
      <c r="B438" s="475" t="s">
        <v>1219</v>
      </c>
      <c r="C438" s="530">
        <v>20000</v>
      </c>
      <c r="D438" s="530">
        <v>20000</v>
      </c>
      <c r="E438" s="905"/>
      <c r="F438" s="841"/>
      <c r="G438" s="841"/>
      <c r="H438" s="840">
        <f t="shared" si="12"/>
        <v>0</v>
      </c>
      <c r="I438" s="840">
        <f t="shared" si="13"/>
        <v>40000</v>
      </c>
    </row>
    <row r="439" spans="1:9" ht="56.25">
      <c r="A439" s="1156"/>
      <c r="B439" s="475" t="s">
        <v>1220</v>
      </c>
      <c r="C439" s="530">
        <v>246278</v>
      </c>
      <c r="D439" s="530"/>
      <c r="E439" s="905">
        <v>246278</v>
      </c>
      <c r="F439" s="841"/>
      <c r="G439" s="841"/>
      <c r="H439" s="840">
        <f t="shared" si="12"/>
        <v>0</v>
      </c>
      <c r="I439" s="840">
        <f t="shared" si="13"/>
        <v>492556</v>
      </c>
    </row>
    <row r="440" spans="1:9" ht="150">
      <c r="A440" s="1156"/>
      <c r="B440" s="475" t="s">
        <v>1771</v>
      </c>
      <c r="C440" s="908">
        <v>246278</v>
      </c>
      <c r="D440" s="908"/>
      <c r="E440" s="905">
        <v>246278</v>
      </c>
      <c r="F440" s="841"/>
      <c r="G440" s="841"/>
      <c r="H440" s="840">
        <f t="shared" si="12"/>
        <v>0</v>
      </c>
      <c r="I440" s="840">
        <f t="shared" si="13"/>
        <v>492556</v>
      </c>
    </row>
    <row r="441" spans="1:9" ht="56.25">
      <c r="A441" s="1156"/>
      <c r="B441" s="475" t="s">
        <v>1995</v>
      </c>
      <c r="C441" s="905">
        <v>175605</v>
      </c>
      <c r="D441" s="908"/>
      <c r="E441" s="905">
        <v>175605</v>
      </c>
      <c r="F441" s="841"/>
      <c r="G441" s="841"/>
      <c r="H441" s="840">
        <f t="shared" si="12"/>
        <v>0</v>
      </c>
      <c r="I441" s="840">
        <f t="shared" si="13"/>
        <v>351210</v>
      </c>
    </row>
    <row r="442" spans="1:9" ht="56.25">
      <c r="A442" s="1156"/>
      <c r="B442" s="475" t="s">
        <v>1995</v>
      </c>
      <c r="C442" s="905">
        <v>180605</v>
      </c>
      <c r="D442" s="908"/>
      <c r="E442" s="905">
        <v>180605</v>
      </c>
      <c r="F442" s="841"/>
      <c r="G442" s="841"/>
      <c r="H442" s="840">
        <f t="shared" si="12"/>
        <v>0</v>
      </c>
      <c r="I442" s="840">
        <f t="shared" si="13"/>
        <v>361210</v>
      </c>
    </row>
    <row r="443" spans="1:9" ht="56.25">
      <c r="A443" s="1156"/>
      <c r="B443" s="475" t="s">
        <v>2562</v>
      </c>
      <c r="C443" s="908">
        <v>140000</v>
      </c>
      <c r="D443" s="908"/>
      <c r="E443" s="908">
        <v>140000</v>
      </c>
      <c r="F443" s="841"/>
      <c r="G443" s="841"/>
      <c r="H443" s="840">
        <f t="shared" si="12"/>
        <v>0</v>
      </c>
      <c r="I443" s="840">
        <f t="shared" si="13"/>
        <v>280000</v>
      </c>
    </row>
    <row r="444" spans="1:9" s="302" customFormat="1" ht="93.75">
      <c r="A444" s="1160"/>
      <c r="B444" s="475" t="s">
        <v>2708</v>
      </c>
      <c r="C444" s="908">
        <v>17000</v>
      </c>
      <c r="D444" s="908"/>
      <c r="E444" s="908">
        <v>17000</v>
      </c>
      <c r="F444" s="841"/>
      <c r="G444" s="841"/>
      <c r="H444" s="840">
        <f t="shared" si="12"/>
        <v>0</v>
      </c>
      <c r="I444" s="840">
        <f t="shared" si="13"/>
        <v>34000</v>
      </c>
    </row>
    <row r="445" spans="1:9" s="302" customFormat="1" ht="56.25">
      <c r="A445" s="1160"/>
      <c r="B445" s="475" t="s">
        <v>2709</v>
      </c>
      <c r="C445" s="915">
        <v>137000</v>
      </c>
      <c r="D445" s="915"/>
      <c r="E445" s="914">
        <v>137000</v>
      </c>
      <c r="F445" s="841"/>
      <c r="G445" s="841"/>
      <c r="H445" s="840">
        <f t="shared" si="12"/>
        <v>0</v>
      </c>
      <c r="I445" s="840">
        <f t="shared" si="13"/>
        <v>274000</v>
      </c>
    </row>
    <row r="446" spans="1:9" s="302" customFormat="1" hidden="1">
      <c r="A446" s="1158"/>
      <c r="B446" s="475"/>
      <c r="C446" s="908"/>
      <c r="D446" s="908"/>
      <c r="E446" s="908"/>
      <c r="F446" s="841"/>
      <c r="G446" s="841"/>
      <c r="H446" s="840">
        <f t="shared" si="12"/>
        <v>0</v>
      </c>
      <c r="I446" s="840">
        <f t="shared" si="13"/>
        <v>0</v>
      </c>
    </row>
    <row r="447" spans="1:9" s="302" customFormat="1" hidden="1">
      <c r="A447" s="1158"/>
      <c r="B447" s="475"/>
      <c r="C447" s="915"/>
      <c r="D447" s="915"/>
      <c r="E447" s="914"/>
      <c r="F447" s="841"/>
      <c r="G447" s="841"/>
      <c r="H447" s="840">
        <f t="shared" si="12"/>
        <v>0</v>
      </c>
      <c r="I447" s="840">
        <f t="shared" si="13"/>
        <v>0</v>
      </c>
    </row>
    <row r="448" spans="1:9" s="302" customFormat="1" hidden="1">
      <c r="A448" s="1158"/>
      <c r="B448" s="475"/>
      <c r="C448" s="916"/>
      <c r="D448" s="916"/>
      <c r="E448" s="905"/>
      <c r="F448" s="841"/>
      <c r="G448" s="841"/>
      <c r="H448" s="840">
        <f t="shared" si="12"/>
        <v>0</v>
      </c>
      <c r="I448" s="840">
        <f t="shared" si="13"/>
        <v>0</v>
      </c>
    </row>
    <row r="449" spans="1:9" s="302" customFormat="1" hidden="1">
      <c r="A449" s="1158"/>
      <c r="B449" s="475"/>
      <c r="C449" s="916"/>
      <c r="D449" s="916"/>
      <c r="E449" s="905"/>
      <c r="F449" s="841"/>
      <c r="G449" s="841"/>
      <c r="H449" s="840">
        <f t="shared" si="12"/>
        <v>0</v>
      </c>
      <c r="I449" s="840">
        <f t="shared" si="13"/>
        <v>0</v>
      </c>
    </row>
    <row r="450" spans="1:9" s="302" customFormat="1" hidden="1">
      <c r="A450" s="1158"/>
      <c r="B450" s="475"/>
      <c r="C450" s="916"/>
      <c r="D450" s="916"/>
      <c r="E450" s="905"/>
      <c r="F450" s="841"/>
      <c r="G450" s="841"/>
      <c r="H450" s="840">
        <f t="shared" si="12"/>
        <v>0</v>
      </c>
      <c r="I450" s="840">
        <f t="shared" si="13"/>
        <v>0</v>
      </c>
    </row>
    <row r="451" spans="1:9" s="302" customFormat="1" hidden="1">
      <c r="A451" s="1158"/>
      <c r="B451" s="475"/>
      <c r="C451" s="905"/>
      <c r="D451" s="905"/>
      <c r="E451" s="905"/>
      <c r="F451" s="841"/>
      <c r="G451" s="841"/>
      <c r="H451" s="840">
        <f t="shared" si="12"/>
        <v>0</v>
      </c>
      <c r="I451" s="840">
        <f t="shared" si="13"/>
        <v>0</v>
      </c>
    </row>
    <row r="452" spans="1:9" s="302" customFormat="1" hidden="1">
      <c r="A452" s="1158"/>
      <c r="B452" s="475"/>
      <c r="C452" s="912"/>
      <c r="D452" s="905"/>
      <c r="E452" s="905"/>
      <c r="F452" s="841"/>
      <c r="G452" s="841"/>
      <c r="H452" s="840">
        <f t="shared" si="12"/>
        <v>0</v>
      </c>
      <c r="I452" s="840">
        <f t="shared" si="13"/>
        <v>0</v>
      </c>
    </row>
    <row r="453" spans="1:9" s="302" customFormat="1" hidden="1">
      <c r="A453" s="1159"/>
      <c r="B453" s="475"/>
      <c r="C453" s="916"/>
      <c r="D453" s="916"/>
      <c r="E453" s="905"/>
      <c r="F453" s="841"/>
      <c r="G453" s="841"/>
      <c r="H453" s="840">
        <f t="shared" si="12"/>
        <v>0</v>
      </c>
      <c r="I453" s="840">
        <f t="shared" si="13"/>
        <v>0</v>
      </c>
    </row>
    <row r="454" spans="1:9" s="302" customFormat="1" hidden="1">
      <c r="A454" s="1159"/>
      <c r="B454" s="475"/>
      <c r="C454" s="916"/>
      <c r="D454" s="916"/>
      <c r="E454" s="905"/>
      <c r="F454" s="841"/>
      <c r="G454" s="841"/>
      <c r="H454" s="840">
        <f t="shared" si="12"/>
        <v>0</v>
      </c>
      <c r="I454" s="840">
        <f t="shared" si="13"/>
        <v>0</v>
      </c>
    </row>
    <row r="455" spans="1:9" s="302" customFormat="1" hidden="1">
      <c r="A455" s="1159"/>
      <c r="B455" s="475"/>
      <c r="C455" s="916"/>
      <c r="D455" s="916"/>
      <c r="E455" s="905"/>
      <c r="F455" s="841"/>
      <c r="G455" s="841"/>
      <c r="H455" s="840">
        <f t="shared" si="12"/>
        <v>0</v>
      </c>
      <c r="I455" s="840">
        <f t="shared" si="13"/>
        <v>0</v>
      </c>
    </row>
    <row r="456" spans="1:9" s="302" customFormat="1" hidden="1">
      <c r="A456" s="1159"/>
      <c r="B456" s="475"/>
      <c r="C456" s="916"/>
      <c r="D456" s="916"/>
      <c r="E456" s="905"/>
      <c r="F456" s="841"/>
      <c r="G456" s="841"/>
      <c r="H456" s="840">
        <f t="shared" si="12"/>
        <v>0</v>
      </c>
      <c r="I456" s="840">
        <f t="shared" si="13"/>
        <v>0</v>
      </c>
    </row>
    <row r="457" spans="1:9" s="302" customFormat="1" hidden="1">
      <c r="A457" s="1159"/>
      <c r="B457" s="475"/>
      <c r="C457" s="916"/>
      <c r="D457" s="916"/>
      <c r="E457" s="905"/>
      <c r="F457" s="841"/>
      <c r="G457" s="841"/>
      <c r="H457" s="840">
        <f t="shared" ref="H457:H520" si="14">E457+D457-C457</f>
        <v>0</v>
      </c>
      <c r="I457" s="840">
        <f t="shared" ref="I457:I520" si="15">SUM(C457:E457)</f>
        <v>0</v>
      </c>
    </row>
    <row r="458" spans="1:9" s="302" customFormat="1" hidden="1">
      <c r="A458" s="1159"/>
      <c r="B458" s="475"/>
      <c r="C458" s="916"/>
      <c r="D458" s="916"/>
      <c r="E458" s="905"/>
      <c r="F458" s="841"/>
      <c r="G458" s="841"/>
      <c r="H458" s="840">
        <f t="shared" si="14"/>
        <v>0</v>
      </c>
      <c r="I458" s="840">
        <f t="shared" si="15"/>
        <v>0</v>
      </c>
    </row>
    <row r="459" spans="1:9" s="302" customFormat="1" hidden="1">
      <c r="A459" s="1159"/>
      <c r="B459" s="475"/>
      <c r="C459" s="916"/>
      <c r="D459" s="916"/>
      <c r="E459" s="905"/>
      <c r="F459" s="841"/>
      <c r="G459" s="841"/>
      <c r="H459" s="840">
        <f t="shared" si="14"/>
        <v>0</v>
      </c>
      <c r="I459" s="840">
        <f t="shared" si="15"/>
        <v>0</v>
      </c>
    </row>
    <row r="460" spans="1:9" s="302" customFormat="1" hidden="1">
      <c r="A460" s="1159"/>
      <c r="B460" s="475"/>
      <c r="C460" s="916"/>
      <c r="D460" s="916"/>
      <c r="E460" s="905"/>
      <c r="F460" s="841"/>
      <c r="G460" s="841"/>
      <c r="H460" s="840">
        <f t="shared" si="14"/>
        <v>0</v>
      </c>
      <c r="I460" s="840">
        <f t="shared" si="15"/>
        <v>0</v>
      </c>
    </row>
    <row r="461" spans="1:9" s="302" customFormat="1" hidden="1">
      <c r="A461" s="1159"/>
      <c r="B461" s="475"/>
      <c r="C461" s="912"/>
      <c r="D461" s="914"/>
      <c r="E461" s="914"/>
      <c r="F461" s="841"/>
      <c r="G461" s="841"/>
      <c r="H461" s="840">
        <f t="shared" si="14"/>
        <v>0</v>
      </c>
      <c r="I461" s="840">
        <f t="shared" si="15"/>
        <v>0</v>
      </c>
    </row>
    <row r="462" spans="1:9" s="302" customFormat="1" hidden="1">
      <c r="A462" s="1159"/>
      <c r="B462" s="890"/>
      <c r="C462" s="912"/>
      <c r="D462" s="473"/>
      <c r="E462" s="914"/>
      <c r="F462" s="841"/>
      <c r="G462" s="841"/>
      <c r="H462" s="840">
        <f t="shared" si="14"/>
        <v>0</v>
      </c>
      <c r="I462" s="840">
        <f t="shared" si="15"/>
        <v>0</v>
      </c>
    </row>
    <row r="463" spans="1:9" s="302" customFormat="1" hidden="1">
      <c r="A463" s="1159"/>
      <c r="B463" s="888"/>
      <c r="C463" s="912"/>
      <c r="D463" s="473"/>
      <c r="E463" s="914"/>
      <c r="F463" s="841"/>
      <c r="G463" s="841"/>
      <c r="H463" s="840">
        <f t="shared" si="14"/>
        <v>0</v>
      </c>
      <c r="I463" s="840">
        <f t="shared" si="15"/>
        <v>0</v>
      </c>
    </row>
    <row r="464" spans="1:9" s="302" customFormat="1" hidden="1">
      <c r="A464" s="1159"/>
      <c r="B464" s="890"/>
      <c r="C464" s="905"/>
      <c r="D464" s="473"/>
      <c r="E464" s="914"/>
      <c r="F464" s="841"/>
      <c r="G464" s="841"/>
      <c r="H464" s="840">
        <f t="shared" si="14"/>
        <v>0</v>
      </c>
      <c r="I464" s="840">
        <f t="shared" si="15"/>
        <v>0</v>
      </c>
    </row>
    <row r="465" spans="1:9" s="302" customFormat="1" ht="18" hidden="1" customHeight="1">
      <c r="A465" s="1159"/>
      <c r="B465" s="475"/>
      <c r="C465" s="916"/>
      <c r="D465" s="916"/>
      <c r="E465" s="905"/>
      <c r="F465" s="841"/>
      <c r="G465" s="841"/>
      <c r="H465" s="840">
        <f t="shared" si="14"/>
        <v>0</v>
      </c>
      <c r="I465" s="840">
        <f t="shared" si="15"/>
        <v>0</v>
      </c>
    </row>
    <row r="466" spans="1:9" s="302" customFormat="1" ht="18" hidden="1" customHeight="1">
      <c r="A466" s="1159"/>
      <c r="B466" s="475"/>
      <c r="C466" s="916"/>
      <c r="D466" s="916"/>
      <c r="E466" s="905"/>
      <c r="F466" s="841"/>
      <c r="G466" s="841"/>
      <c r="H466" s="840">
        <f t="shared" si="14"/>
        <v>0</v>
      </c>
      <c r="I466" s="840">
        <f t="shared" si="15"/>
        <v>0</v>
      </c>
    </row>
    <row r="467" spans="1:9" s="302" customFormat="1" ht="18" hidden="1" customHeight="1">
      <c r="A467" s="1159"/>
      <c r="B467" s="475"/>
      <c r="C467" s="916"/>
      <c r="D467" s="916"/>
      <c r="E467" s="905"/>
      <c r="F467" s="841"/>
      <c r="G467" s="841"/>
      <c r="H467" s="840">
        <f t="shared" si="14"/>
        <v>0</v>
      </c>
      <c r="I467" s="840">
        <f t="shared" si="15"/>
        <v>0</v>
      </c>
    </row>
    <row r="468" spans="1:9" s="302" customFormat="1" ht="18" hidden="1" customHeight="1">
      <c r="A468" s="1159"/>
      <c r="B468" s="475"/>
      <c r="C468" s="916"/>
      <c r="D468" s="916"/>
      <c r="E468" s="916"/>
      <c r="F468" s="841"/>
      <c r="G468" s="841"/>
      <c r="H468" s="840">
        <f t="shared" si="14"/>
        <v>0</v>
      </c>
      <c r="I468" s="840">
        <f t="shared" si="15"/>
        <v>0</v>
      </c>
    </row>
    <row r="469" spans="1:9" s="302" customFormat="1" ht="18" hidden="1" customHeight="1">
      <c r="A469" s="1159"/>
      <c r="B469" s="475"/>
      <c r="C469" s="916"/>
      <c r="D469" s="916"/>
      <c r="E469" s="916"/>
      <c r="F469" s="841"/>
      <c r="G469" s="841"/>
      <c r="H469" s="840">
        <f t="shared" si="14"/>
        <v>0</v>
      </c>
      <c r="I469" s="840">
        <f t="shared" si="15"/>
        <v>0</v>
      </c>
    </row>
    <row r="470" spans="1:9" s="302" customFormat="1" ht="18" hidden="1" customHeight="1">
      <c r="A470" s="1159"/>
      <c r="B470" s="475"/>
      <c r="C470" s="916"/>
      <c r="D470" s="916"/>
      <c r="E470" s="916"/>
      <c r="F470" s="841"/>
      <c r="G470" s="841"/>
      <c r="H470" s="840">
        <f t="shared" si="14"/>
        <v>0</v>
      </c>
      <c r="I470" s="840">
        <f t="shared" si="15"/>
        <v>0</v>
      </c>
    </row>
    <row r="471" spans="1:9" s="302" customFormat="1" ht="18" hidden="1" customHeight="1">
      <c r="A471" s="1159"/>
      <c r="B471" s="475"/>
      <c r="C471" s="916"/>
      <c r="D471" s="916"/>
      <c r="E471" s="916"/>
      <c r="F471" s="841"/>
      <c r="G471" s="841"/>
      <c r="H471" s="840">
        <f t="shared" si="14"/>
        <v>0</v>
      </c>
      <c r="I471" s="840">
        <f t="shared" si="15"/>
        <v>0</v>
      </c>
    </row>
    <row r="472" spans="1:9" s="302" customFormat="1" ht="18" hidden="1" customHeight="1">
      <c r="A472" s="1159"/>
      <c r="B472" s="475"/>
      <c r="C472" s="916"/>
      <c r="D472" s="916"/>
      <c r="E472" s="916"/>
      <c r="F472" s="841"/>
      <c r="G472" s="841"/>
      <c r="H472" s="840">
        <f t="shared" si="14"/>
        <v>0</v>
      </c>
      <c r="I472" s="840">
        <f t="shared" si="15"/>
        <v>0</v>
      </c>
    </row>
    <row r="473" spans="1:9" s="302" customFormat="1" ht="18" hidden="1" customHeight="1">
      <c r="A473" s="1159"/>
      <c r="B473" s="864"/>
      <c r="C473" s="917"/>
      <c r="D473" s="917"/>
      <c r="E473" s="917"/>
      <c r="F473" s="841"/>
      <c r="G473" s="841"/>
      <c r="H473" s="840">
        <f t="shared" si="14"/>
        <v>0</v>
      </c>
      <c r="I473" s="840">
        <f t="shared" si="15"/>
        <v>0</v>
      </c>
    </row>
    <row r="474" spans="1:9">
      <c r="A474" s="1156"/>
      <c r="B474" s="461" t="s">
        <v>253</v>
      </c>
      <c r="C474" s="919">
        <f>SUM(C435:C473)</f>
        <v>1487144</v>
      </c>
      <c r="D474" s="919">
        <f>SUM(D435:D473)</f>
        <v>98100</v>
      </c>
      <c r="E474" s="919">
        <f>SUM(E435:E473)</f>
        <v>1389044</v>
      </c>
      <c r="F474" s="850">
        <f>SUM(F435:F452)</f>
        <v>0</v>
      </c>
      <c r="G474" s="851">
        <f>SUM(G435:G452)</f>
        <v>0</v>
      </c>
      <c r="H474" s="840">
        <f t="shared" si="14"/>
        <v>0</v>
      </c>
      <c r="I474" s="840">
        <f t="shared" si="15"/>
        <v>2974288</v>
      </c>
    </row>
    <row r="475" spans="1:9" ht="75">
      <c r="A475" s="1151" t="s">
        <v>57</v>
      </c>
      <c r="B475" s="887" t="s">
        <v>952</v>
      </c>
      <c r="C475" s="530">
        <v>308600</v>
      </c>
      <c r="D475" s="530">
        <v>308600</v>
      </c>
      <c r="E475" s="905"/>
      <c r="F475" s="841"/>
      <c r="G475" s="841"/>
      <c r="H475" s="840">
        <f t="shared" si="14"/>
        <v>0</v>
      </c>
      <c r="I475" s="840">
        <f t="shared" si="15"/>
        <v>617200</v>
      </c>
    </row>
    <row r="476" spans="1:9" ht="56.25">
      <c r="A476" s="1151"/>
      <c r="B476" s="475" t="s">
        <v>950</v>
      </c>
      <c r="C476" s="530">
        <v>180000</v>
      </c>
      <c r="D476" s="530"/>
      <c r="E476" s="905">
        <v>180000</v>
      </c>
      <c r="F476" s="841"/>
      <c r="G476" s="841"/>
      <c r="H476" s="840">
        <f t="shared" si="14"/>
        <v>0</v>
      </c>
      <c r="I476" s="840">
        <f t="shared" si="15"/>
        <v>360000</v>
      </c>
    </row>
    <row r="477" spans="1:9" ht="75">
      <c r="A477" s="1151"/>
      <c r="B477" s="475" t="s">
        <v>1129</v>
      </c>
      <c r="C477" s="905">
        <v>150000</v>
      </c>
      <c r="D477" s="905"/>
      <c r="E477" s="905">
        <v>150000</v>
      </c>
      <c r="F477" s="841"/>
      <c r="G477" s="841"/>
      <c r="H477" s="840">
        <f t="shared" si="14"/>
        <v>0</v>
      </c>
      <c r="I477" s="840">
        <f t="shared" si="15"/>
        <v>300000</v>
      </c>
    </row>
    <row r="478" spans="1:9" ht="37.5">
      <c r="A478" s="1151"/>
      <c r="B478" s="475" t="s">
        <v>1221</v>
      </c>
      <c r="C478" s="905">
        <v>28000</v>
      </c>
      <c r="D478" s="932">
        <v>28000</v>
      </c>
      <c r="E478" s="932"/>
      <c r="F478" s="841"/>
      <c r="G478" s="841"/>
      <c r="H478" s="840">
        <f t="shared" si="14"/>
        <v>0</v>
      </c>
      <c r="I478" s="840">
        <f t="shared" si="15"/>
        <v>56000</v>
      </c>
    </row>
    <row r="479" spans="1:9" ht="56.25">
      <c r="A479" s="1151"/>
      <c r="B479" s="475" t="s">
        <v>1222</v>
      </c>
      <c r="C479" s="530">
        <v>14000</v>
      </c>
      <c r="D479" s="530">
        <v>2000</v>
      </c>
      <c r="E479" s="905">
        <v>12000</v>
      </c>
      <c r="F479" s="841"/>
      <c r="G479" s="841"/>
      <c r="H479" s="840">
        <f t="shared" si="14"/>
        <v>0</v>
      </c>
      <c r="I479" s="840">
        <f t="shared" si="15"/>
        <v>28000</v>
      </c>
    </row>
    <row r="480" spans="1:9" ht="56.25">
      <c r="A480" s="1151"/>
      <c r="B480" s="475" t="s">
        <v>1223</v>
      </c>
      <c r="C480" s="530">
        <v>50000</v>
      </c>
      <c r="D480" s="530">
        <v>8000</v>
      </c>
      <c r="E480" s="905">
        <v>42000</v>
      </c>
      <c r="F480" s="841"/>
      <c r="G480" s="841"/>
      <c r="H480" s="840">
        <f t="shared" si="14"/>
        <v>0</v>
      </c>
      <c r="I480" s="840">
        <f t="shared" si="15"/>
        <v>100000</v>
      </c>
    </row>
    <row r="481" spans="1:9" ht="75">
      <c r="A481" s="1151"/>
      <c r="B481" s="475" t="s">
        <v>1224</v>
      </c>
      <c r="C481" s="530">
        <v>30000</v>
      </c>
      <c r="D481" s="530">
        <v>30000</v>
      </c>
      <c r="E481" s="905"/>
      <c r="F481" s="841"/>
      <c r="G481" s="841"/>
      <c r="H481" s="840">
        <f t="shared" si="14"/>
        <v>0</v>
      </c>
      <c r="I481" s="840">
        <f t="shared" si="15"/>
        <v>60000</v>
      </c>
    </row>
    <row r="482" spans="1:9" ht="93.75">
      <c r="A482" s="1151"/>
      <c r="B482" s="475" t="s">
        <v>1225</v>
      </c>
      <c r="C482" s="530">
        <v>70000</v>
      </c>
      <c r="D482" s="530"/>
      <c r="E482" s="530">
        <v>70000</v>
      </c>
      <c r="F482" s="841"/>
      <c r="G482" s="841"/>
      <c r="H482" s="840">
        <f t="shared" si="14"/>
        <v>0</v>
      </c>
      <c r="I482" s="840">
        <f t="shared" si="15"/>
        <v>140000</v>
      </c>
    </row>
    <row r="483" spans="1:9" ht="93.75">
      <c r="A483" s="1151"/>
      <c r="B483" s="475" t="s">
        <v>1226</v>
      </c>
      <c r="C483" s="530">
        <v>55800</v>
      </c>
      <c r="D483" s="530"/>
      <c r="E483" s="530">
        <v>55800</v>
      </c>
      <c r="F483" s="841"/>
      <c r="G483" s="841"/>
      <c r="H483" s="840">
        <f t="shared" si="14"/>
        <v>0</v>
      </c>
      <c r="I483" s="840">
        <f t="shared" si="15"/>
        <v>111600</v>
      </c>
    </row>
    <row r="484" spans="1:9" ht="75">
      <c r="A484" s="1151"/>
      <c r="B484" s="475" t="s">
        <v>1227</v>
      </c>
      <c r="C484" s="530">
        <v>18600</v>
      </c>
      <c r="D484" s="530"/>
      <c r="E484" s="530">
        <v>18600</v>
      </c>
      <c r="F484" s="841"/>
      <c r="G484" s="841"/>
      <c r="H484" s="840">
        <f t="shared" si="14"/>
        <v>0</v>
      </c>
      <c r="I484" s="840">
        <f t="shared" si="15"/>
        <v>37200</v>
      </c>
    </row>
    <row r="485" spans="1:9" ht="93.75">
      <c r="A485" s="1151"/>
      <c r="B485" s="475" t="s">
        <v>1661</v>
      </c>
      <c r="C485" s="530">
        <v>21878</v>
      </c>
      <c r="D485" s="530">
        <v>21878</v>
      </c>
      <c r="E485" s="905"/>
      <c r="F485" s="841"/>
      <c r="G485" s="841"/>
      <c r="H485" s="840">
        <f t="shared" si="14"/>
        <v>0</v>
      </c>
      <c r="I485" s="840">
        <f t="shared" si="15"/>
        <v>43756</v>
      </c>
    </row>
    <row r="486" spans="1:9" ht="56.25">
      <c r="A486" s="1151"/>
      <c r="B486" s="475" t="s">
        <v>1228</v>
      </c>
      <c r="C486" s="530">
        <v>24680</v>
      </c>
      <c r="D486" s="530"/>
      <c r="E486" s="530">
        <v>24680</v>
      </c>
      <c r="F486" s="841"/>
      <c r="G486" s="841"/>
      <c r="H486" s="840">
        <f t="shared" si="14"/>
        <v>0</v>
      </c>
      <c r="I486" s="840">
        <f t="shared" si="15"/>
        <v>49360</v>
      </c>
    </row>
    <row r="487" spans="1:9" ht="56.25">
      <c r="A487" s="1151"/>
      <c r="B487" s="475" t="s">
        <v>1229</v>
      </c>
      <c r="C487" s="530">
        <v>10000</v>
      </c>
      <c r="D487" s="530"/>
      <c r="E487" s="530">
        <v>10000</v>
      </c>
      <c r="F487" s="841"/>
      <c r="G487" s="841"/>
      <c r="H487" s="840">
        <f t="shared" si="14"/>
        <v>0</v>
      </c>
      <c r="I487" s="840">
        <f t="shared" si="15"/>
        <v>20000</v>
      </c>
    </row>
    <row r="488" spans="1:9" ht="75">
      <c r="A488" s="1151"/>
      <c r="B488" s="475" t="s">
        <v>1230</v>
      </c>
      <c r="C488" s="530">
        <v>6000</v>
      </c>
      <c r="D488" s="530">
        <v>6000</v>
      </c>
      <c r="E488" s="530"/>
      <c r="F488" s="841"/>
      <c r="G488" s="841"/>
      <c r="H488" s="840">
        <f t="shared" si="14"/>
        <v>0</v>
      </c>
      <c r="I488" s="840">
        <f t="shared" si="15"/>
        <v>12000</v>
      </c>
    </row>
    <row r="489" spans="1:9" ht="56.25">
      <c r="A489" s="1151"/>
      <c r="B489" s="475" t="s">
        <v>1231</v>
      </c>
      <c r="C489" s="530">
        <v>9000</v>
      </c>
      <c r="D489" s="530"/>
      <c r="E489" s="530">
        <v>9000</v>
      </c>
      <c r="F489" s="841"/>
      <c r="G489" s="841"/>
      <c r="H489" s="840">
        <f t="shared" si="14"/>
        <v>0</v>
      </c>
      <c r="I489" s="840">
        <f t="shared" si="15"/>
        <v>18000</v>
      </c>
    </row>
    <row r="490" spans="1:9" ht="37.5">
      <c r="A490" s="1151"/>
      <c r="B490" s="475" t="s">
        <v>1996</v>
      </c>
      <c r="C490" s="905">
        <v>12000</v>
      </c>
      <c r="D490" s="905">
        <v>12000</v>
      </c>
      <c r="E490" s="905"/>
      <c r="F490" s="841"/>
      <c r="G490" s="841"/>
      <c r="H490" s="840">
        <f t="shared" si="14"/>
        <v>0</v>
      </c>
      <c r="I490" s="840">
        <f t="shared" si="15"/>
        <v>24000</v>
      </c>
    </row>
    <row r="491" spans="1:9" ht="56.25">
      <c r="A491" s="1151"/>
      <c r="B491" s="475" t="s">
        <v>1997</v>
      </c>
      <c r="C491" s="905">
        <v>20000</v>
      </c>
      <c r="D491" s="905">
        <v>20000</v>
      </c>
      <c r="E491" s="905"/>
      <c r="F491" s="841"/>
      <c r="G491" s="841"/>
      <c r="H491" s="840">
        <f t="shared" si="14"/>
        <v>0</v>
      </c>
      <c r="I491" s="840">
        <f t="shared" si="15"/>
        <v>40000</v>
      </c>
    </row>
    <row r="492" spans="1:9" s="302" customFormat="1" ht="75">
      <c r="A492" s="1152"/>
      <c r="B492" s="475" t="s">
        <v>1998</v>
      </c>
      <c r="C492" s="905">
        <v>15000</v>
      </c>
      <c r="D492" s="905">
        <v>15000</v>
      </c>
      <c r="E492" s="905"/>
      <c r="F492" s="841"/>
      <c r="G492" s="841"/>
      <c r="H492" s="840">
        <f t="shared" si="14"/>
        <v>0</v>
      </c>
      <c r="I492" s="840">
        <f t="shared" si="15"/>
        <v>30000</v>
      </c>
    </row>
    <row r="493" spans="1:9" s="302" customFormat="1" ht="75">
      <c r="A493" s="1152"/>
      <c r="B493" s="475" t="s">
        <v>1999</v>
      </c>
      <c r="C493" s="905">
        <v>20000</v>
      </c>
      <c r="D493" s="905">
        <v>20000</v>
      </c>
      <c r="E493" s="905"/>
      <c r="F493" s="841"/>
      <c r="G493" s="841"/>
      <c r="H493" s="840">
        <f t="shared" si="14"/>
        <v>0</v>
      </c>
      <c r="I493" s="840">
        <f t="shared" si="15"/>
        <v>40000</v>
      </c>
    </row>
    <row r="494" spans="1:9" s="302" customFormat="1" ht="56.25">
      <c r="A494" s="1152"/>
      <c r="B494" s="475" t="s">
        <v>2000</v>
      </c>
      <c r="C494" s="908">
        <v>40000</v>
      </c>
      <c r="D494" s="908"/>
      <c r="E494" s="905">
        <v>40000</v>
      </c>
      <c r="F494" s="841"/>
      <c r="G494" s="841"/>
      <c r="H494" s="840">
        <f t="shared" si="14"/>
        <v>0</v>
      </c>
      <c r="I494" s="840">
        <f t="shared" si="15"/>
        <v>80000</v>
      </c>
    </row>
    <row r="495" spans="1:9" s="302" customFormat="1" ht="56.25">
      <c r="A495" s="1152"/>
      <c r="B495" s="475" t="s">
        <v>2001</v>
      </c>
      <c r="C495" s="906">
        <v>10000</v>
      </c>
      <c r="D495" s="904">
        <v>10000</v>
      </c>
      <c r="E495" s="904"/>
      <c r="F495" s="841"/>
      <c r="G495" s="841"/>
      <c r="H495" s="840">
        <f t="shared" si="14"/>
        <v>0</v>
      </c>
      <c r="I495" s="840">
        <f t="shared" si="15"/>
        <v>20000</v>
      </c>
    </row>
    <row r="496" spans="1:9" s="302" customFormat="1" ht="37.5">
      <c r="A496" s="1152"/>
      <c r="B496" s="475" t="s">
        <v>2002</v>
      </c>
      <c r="C496" s="906">
        <v>25000</v>
      </c>
      <c r="D496" s="904">
        <v>25000</v>
      </c>
      <c r="E496" s="904"/>
      <c r="F496" s="841"/>
      <c r="G496" s="841"/>
      <c r="H496" s="840">
        <f t="shared" si="14"/>
        <v>0</v>
      </c>
      <c r="I496" s="840">
        <f t="shared" si="15"/>
        <v>50000</v>
      </c>
    </row>
    <row r="497" spans="1:9" s="302" customFormat="1" ht="75">
      <c r="A497" s="1152"/>
      <c r="B497" s="475" t="s">
        <v>2003</v>
      </c>
      <c r="C497" s="906">
        <v>18000</v>
      </c>
      <c r="D497" s="904">
        <v>1700</v>
      </c>
      <c r="E497" s="904">
        <v>16300</v>
      </c>
      <c r="F497" s="841"/>
      <c r="G497" s="841"/>
      <c r="H497" s="840">
        <f t="shared" si="14"/>
        <v>0</v>
      </c>
      <c r="I497" s="840">
        <f t="shared" si="15"/>
        <v>36000</v>
      </c>
    </row>
    <row r="498" spans="1:9" s="302" customFormat="1" ht="37.5">
      <c r="A498" s="1152"/>
      <c r="B498" s="475" t="s">
        <v>2004</v>
      </c>
      <c r="C498" s="906">
        <v>10000</v>
      </c>
      <c r="D498" s="904"/>
      <c r="E498" s="904">
        <v>10000</v>
      </c>
      <c r="F498" s="841"/>
      <c r="G498" s="841"/>
      <c r="H498" s="840">
        <f t="shared" si="14"/>
        <v>0</v>
      </c>
      <c r="I498" s="840">
        <f t="shared" si="15"/>
        <v>20000</v>
      </c>
    </row>
    <row r="499" spans="1:9" s="302" customFormat="1" ht="93.75">
      <c r="A499" s="1152"/>
      <c r="B499" s="475" t="s">
        <v>2005</v>
      </c>
      <c r="C499" s="906">
        <v>35000</v>
      </c>
      <c r="D499" s="904"/>
      <c r="E499" s="904">
        <v>35000</v>
      </c>
      <c r="F499" s="841"/>
      <c r="G499" s="841"/>
      <c r="H499" s="840">
        <f t="shared" si="14"/>
        <v>0</v>
      </c>
      <c r="I499" s="840">
        <f t="shared" si="15"/>
        <v>70000</v>
      </c>
    </row>
    <row r="500" spans="1:9" s="302" customFormat="1" ht="56.25">
      <c r="A500" s="1152"/>
      <c r="B500" s="475" t="s">
        <v>2006</v>
      </c>
      <c r="C500" s="906">
        <v>15000</v>
      </c>
      <c r="D500" s="904">
        <v>3600</v>
      </c>
      <c r="E500" s="904">
        <v>11400</v>
      </c>
      <c r="F500" s="841"/>
      <c r="G500" s="841"/>
      <c r="H500" s="840">
        <f t="shared" si="14"/>
        <v>0</v>
      </c>
      <c r="I500" s="840">
        <f t="shared" si="15"/>
        <v>30000</v>
      </c>
    </row>
    <row r="501" spans="1:9" s="302" customFormat="1" ht="75">
      <c r="A501" s="1152"/>
      <c r="B501" s="475" t="s">
        <v>2007</v>
      </c>
      <c r="C501" s="906">
        <v>40000</v>
      </c>
      <c r="D501" s="904"/>
      <c r="E501" s="904">
        <v>40000</v>
      </c>
      <c r="F501" s="841"/>
      <c r="G501" s="841"/>
      <c r="H501" s="840">
        <f t="shared" si="14"/>
        <v>0</v>
      </c>
      <c r="I501" s="840">
        <f t="shared" si="15"/>
        <v>80000</v>
      </c>
    </row>
    <row r="502" spans="1:9" s="302" customFormat="1" ht="56.25">
      <c r="A502" s="1152"/>
      <c r="B502" s="475" t="s">
        <v>2563</v>
      </c>
      <c r="C502" s="912">
        <v>175000</v>
      </c>
      <c r="D502" s="912">
        <v>175000</v>
      </c>
      <c r="E502" s="912"/>
      <c r="F502" s="841"/>
      <c r="G502" s="841"/>
      <c r="H502" s="840">
        <f t="shared" si="14"/>
        <v>0</v>
      </c>
      <c r="I502" s="840">
        <f t="shared" si="15"/>
        <v>350000</v>
      </c>
    </row>
    <row r="503" spans="1:9" s="302" customFormat="1" ht="56.25">
      <c r="A503" s="1152"/>
      <c r="B503" s="475" t="s">
        <v>2564</v>
      </c>
      <c r="C503" s="912">
        <v>80000</v>
      </c>
      <c r="D503" s="912">
        <v>80000</v>
      </c>
      <c r="E503" s="912"/>
      <c r="F503" s="841"/>
      <c r="G503" s="841"/>
      <c r="H503" s="840">
        <f t="shared" si="14"/>
        <v>0</v>
      </c>
      <c r="I503" s="840">
        <f t="shared" si="15"/>
        <v>160000</v>
      </c>
    </row>
    <row r="504" spans="1:9" s="302" customFormat="1" ht="37.5">
      <c r="A504" s="1152"/>
      <c r="B504" s="475" t="s">
        <v>2565</v>
      </c>
      <c r="C504" s="905">
        <v>120000</v>
      </c>
      <c r="D504" s="905">
        <v>120000</v>
      </c>
      <c r="E504" s="905"/>
      <c r="F504" s="841"/>
      <c r="G504" s="841"/>
      <c r="H504" s="840">
        <f t="shared" si="14"/>
        <v>0</v>
      </c>
      <c r="I504" s="840">
        <f t="shared" si="15"/>
        <v>240000</v>
      </c>
    </row>
    <row r="505" spans="1:9" s="302" customFormat="1" ht="56.25" hidden="1">
      <c r="A505" s="1152"/>
      <c r="B505" s="889" t="s">
        <v>2566</v>
      </c>
      <c r="C505" s="910">
        <f>70000-70000</f>
        <v>0</v>
      </c>
      <c r="D505" s="910"/>
      <c r="E505" s="910">
        <f>70000-70000</f>
        <v>0</v>
      </c>
      <c r="F505" s="841"/>
      <c r="G505" s="841"/>
      <c r="H505" s="840">
        <f t="shared" si="14"/>
        <v>0</v>
      </c>
      <c r="I505" s="840">
        <f t="shared" si="15"/>
        <v>0</v>
      </c>
    </row>
    <row r="506" spans="1:9" s="302" customFormat="1" ht="56.25">
      <c r="A506" s="1152"/>
      <c r="B506" s="475" t="s">
        <v>2710</v>
      </c>
      <c r="C506" s="905">
        <v>10000</v>
      </c>
      <c r="D506" s="905"/>
      <c r="E506" s="905">
        <v>10000</v>
      </c>
      <c r="F506" s="841"/>
      <c r="G506" s="841"/>
      <c r="H506" s="840">
        <f t="shared" si="14"/>
        <v>0</v>
      </c>
      <c r="I506" s="840">
        <f t="shared" si="15"/>
        <v>20000</v>
      </c>
    </row>
    <row r="507" spans="1:9" s="302" customFormat="1" ht="56.25">
      <c r="A507" s="1152"/>
      <c r="B507" s="475" t="s">
        <v>2711</v>
      </c>
      <c r="C507" s="908">
        <v>12000</v>
      </c>
      <c r="D507" s="908">
        <v>12000</v>
      </c>
      <c r="E507" s="905"/>
      <c r="F507" s="841"/>
      <c r="G507" s="841"/>
      <c r="H507" s="840">
        <f t="shared" si="14"/>
        <v>0</v>
      </c>
      <c r="I507" s="840">
        <f t="shared" si="15"/>
        <v>24000</v>
      </c>
    </row>
    <row r="508" spans="1:9" s="302" customFormat="1" ht="56.25">
      <c r="A508" s="1152"/>
      <c r="B508" s="475" t="s">
        <v>2712</v>
      </c>
      <c r="C508" s="908">
        <v>24680</v>
      </c>
      <c r="D508" s="908"/>
      <c r="E508" s="905">
        <v>24680</v>
      </c>
      <c r="F508" s="841"/>
      <c r="G508" s="841"/>
      <c r="H508" s="840">
        <f t="shared" si="14"/>
        <v>0</v>
      </c>
      <c r="I508" s="840">
        <f t="shared" si="15"/>
        <v>49360</v>
      </c>
    </row>
    <row r="509" spans="1:9" s="302" customFormat="1" ht="75">
      <c r="A509" s="1152"/>
      <c r="B509" s="475" t="s">
        <v>2713</v>
      </c>
      <c r="C509" s="908">
        <v>18000</v>
      </c>
      <c r="D509" s="908">
        <v>1700</v>
      </c>
      <c r="E509" s="908">
        <v>16300</v>
      </c>
      <c r="F509" s="841"/>
      <c r="G509" s="841"/>
      <c r="H509" s="840">
        <f t="shared" si="14"/>
        <v>0</v>
      </c>
      <c r="I509" s="840">
        <f t="shared" si="15"/>
        <v>36000</v>
      </c>
    </row>
    <row r="510" spans="1:9" s="302" customFormat="1" ht="75">
      <c r="A510" s="1152"/>
      <c r="B510" s="475" t="s">
        <v>2714</v>
      </c>
      <c r="C510" s="908">
        <v>4441</v>
      </c>
      <c r="D510" s="908">
        <v>4441</v>
      </c>
      <c r="E510" s="908"/>
      <c r="F510" s="841"/>
      <c r="G510" s="841"/>
      <c r="H510" s="840">
        <f t="shared" si="14"/>
        <v>0</v>
      </c>
      <c r="I510" s="840">
        <f t="shared" si="15"/>
        <v>8882</v>
      </c>
    </row>
    <row r="511" spans="1:9" s="302" customFormat="1" ht="56.25">
      <c r="A511" s="1152"/>
      <c r="B511" s="475" t="s">
        <v>2715</v>
      </c>
      <c r="C511" s="908">
        <v>11000</v>
      </c>
      <c r="D511" s="908">
        <v>11000</v>
      </c>
      <c r="E511" s="908"/>
      <c r="F511" s="841"/>
      <c r="G511" s="841"/>
      <c r="H511" s="840">
        <f t="shared" si="14"/>
        <v>0</v>
      </c>
      <c r="I511" s="840">
        <f t="shared" si="15"/>
        <v>22000</v>
      </c>
    </row>
    <row r="512" spans="1:9" s="302" customFormat="1" ht="56.25">
      <c r="A512" s="1152"/>
      <c r="B512" s="475" t="s">
        <v>2716</v>
      </c>
      <c r="C512" s="908">
        <v>20000</v>
      </c>
      <c r="D512" s="908">
        <v>20000</v>
      </c>
      <c r="E512" s="908"/>
      <c r="F512" s="841"/>
      <c r="G512" s="841"/>
      <c r="H512" s="840">
        <f t="shared" si="14"/>
        <v>0</v>
      </c>
      <c r="I512" s="840">
        <f t="shared" si="15"/>
        <v>40000</v>
      </c>
    </row>
    <row r="513" spans="1:9" s="302" customFormat="1" ht="37.5">
      <c r="A513" s="1152"/>
      <c r="B513" s="475" t="s">
        <v>2717</v>
      </c>
      <c r="C513" s="908">
        <v>25000</v>
      </c>
      <c r="D513" s="908">
        <v>25000</v>
      </c>
      <c r="E513" s="908"/>
      <c r="F513" s="841"/>
      <c r="G513" s="841"/>
      <c r="H513" s="840">
        <f t="shared" si="14"/>
        <v>0</v>
      </c>
      <c r="I513" s="840">
        <f t="shared" si="15"/>
        <v>50000</v>
      </c>
    </row>
    <row r="514" spans="1:9" s="302" customFormat="1" ht="37.5">
      <c r="A514" s="1152"/>
      <c r="B514" s="475" t="s">
        <v>2718</v>
      </c>
      <c r="C514" s="908">
        <v>25000</v>
      </c>
      <c r="D514" s="908">
        <v>25000</v>
      </c>
      <c r="E514" s="908"/>
      <c r="F514" s="841"/>
      <c r="G514" s="841"/>
      <c r="H514" s="840">
        <f t="shared" si="14"/>
        <v>0</v>
      </c>
      <c r="I514" s="840">
        <f t="shared" si="15"/>
        <v>50000</v>
      </c>
    </row>
    <row r="515" spans="1:9" s="302" customFormat="1" ht="37.5">
      <c r="A515" s="1152"/>
      <c r="B515" s="475" t="s">
        <v>2719</v>
      </c>
      <c r="C515" s="908">
        <v>10000</v>
      </c>
      <c r="D515" s="908">
        <v>2000</v>
      </c>
      <c r="E515" s="908">
        <v>8000</v>
      </c>
      <c r="F515" s="841"/>
      <c r="G515" s="841"/>
      <c r="H515" s="840">
        <f t="shared" si="14"/>
        <v>0</v>
      </c>
      <c r="I515" s="840">
        <f t="shared" si="15"/>
        <v>20000</v>
      </c>
    </row>
    <row r="516" spans="1:9" s="302" customFormat="1" ht="56.25">
      <c r="A516" s="1152"/>
      <c r="B516" s="475" t="s">
        <v>2720</v>
      </c>
      <c r="C516" s="908">
        <v>10000</v>
      </c>
      <c r="D516" s="908"/>
      <c r="E516" s="908">
        <v>10000</v>
      </c>
      <c r="F516" s="841"/>
      <c r="G516" s="841"/>
      <c r="H516" s="840">
        <f t="shared" si="14"/>
        <v>0</v>
      </c>
      <c r="I516" s="840">
        <f t="shared" si="15"/>
        <v>20000</v>
      </c>
    </row>
    <row r="517" spans="1:9" s="302" customFormat="1" ht="75">
      <c r="A517" s="1152"/>
      <c r="B517" s="475" t="s">
        <v>2721</v>
      </c>
      <c r="C517" s="908">
        <v>10000</v>
      </c>
      <c r="D517" s="908"/>
      <c r="E517" s="905">
        <v>10000</v>
      </c>
      <c r="F517" s="841"/>
      <c r="G517" s="841"/>
      <c r="H517" s="840">
        <f t="shared" si="14"/>
        <v>0</v>
      </c>
      <c r="I517" s="840">
        <f t="shared" si="15"/>
        <v>20000</v>
      </c>
    </row>
    <row r="518" spans="1:9" s="302" customFormat="1" ht="75">
      <c r="A518" s="1152"/>
      <c r="B518" s="475" t="s">
        <v>2722</v>
      </c>
      <c r="C518" s="908">
        <v>11046</v>
      </c>
      <c r="D518" s="908"/>
      <c r="E518" s="905">
        <v>11046</v>
      </c>
      <c r="F518" s="841"/>
      <c r="G518" s="841"/>
      <c r="H518" s="840">
        <f t="shared" si="14"/>
        <v>0</v>
      </c>
      <c r="I518" s="840">
        <f t="shared" si="15"/>
        <v>22092</v>
      </c>
    </row>
    <row r="519" spans="1:9" s="302" customFormat="1" ht="56.25">
      <c r="A519" s="1152"/>
      <c r="B519" s="475" t="s">
        <v>3141</v>
      </c>
      <c r="C519" s="908">
        <v>70000</v>
      </c>
      <c r="D519" s="908"/>
      <c r="E519" s="905">
        <v>70000</v>
      </c>
      <c r="F519" s="841"/>
      <c r="G519" s="841"/>
      <c r="H519" s="840">
        <f t="shared" si="14"/>
        <v>0</v>
      </c>
      <c r="I519" s="840">
        <f t="shared" si="15"/>
        <v>140000</v>
      </c>
    </row>
    <row r="520" spans="1:9" s="302" customFormat="1" hidden="1">
      <c r="A520" s="1152"/>
      <c r="B520" s="475"/>
      <c r="C520" s="916"/>
      <c r="D520" s="916"/>
      <c r="E520" s="905"/>
      <c r="F520" s="841"/>
      <c r="G520" s="841"/>
      <c r="H520" s="840">
        <f t="shared" si="14"/>
        <v>0</v>
      </c>
      <c r="I520" s="840">
        <f t="shared" si="15"/>
        <v>0</v>
      </c>
    </row>
    <row r="521" spans="1:9" s="302" customFormat="1" hidden="1">
      <c r="A521" s="1152"/>
      <c r="B521" s="475"/>
      <c r="C521" s="916"/>
      <c r="D521" s="916"/>
      <c r="E521" s="905"/>
      <c r="F521" s="841"/>
      <c r="G521" s="841"/>
      <c r="H521" s="840">
        <f t="shared" ref="H521:H584" si="16">E521+D521-C521</f>
        <v>0</v>
      </c>
      <c r="I521" s="840">
        <f t="shared" ref="I521:I584" si="17">SUM(C521:E521)</f>
        <v>0</v>
      </c>
    </row>
    <row r="522" spans="1:9" s="302" customFormat="1" hidden="1">
      <c r="A522" s="1152"/>
      <c r="B522" s="475"/>
      <c r="C522" s="916"/>
      <c r="D522" s="916"/>
      <c r="E522" s="905"/>
      <c r="F522" s="841"/>
      <c r="G522" s="841"/>
      <c r="H522" s="840">
        <f t="shared" si="16"/>
        <v>0</v>
      </c>
      <c r="I522" s="840">
        <f t="shared" si="17"/>
        <v>0</v>
      </c>
    </row>
    <row r="523" spans="1:9" s="302" customFormat="1" hidden="1">
      <c r="A523" s="1152"/>
      <c r="B523" s="475"/>
      <c r="C523" s="916"/>
      <c r="D523" s="916"/>
      <c r="E523" s="905"/>
      <c r="F523" s="841"/>
      <c r="G523" s="841"/>
      <c r="H523" s="840">
        <f t="shared" si="16"/>
        <v>0</v>
      </c>
      <c r="I523" s="840">
        <f t="shared" si="17"/>
        <v>0</v>
      </c>
    </row>
    <row r="524" spans="1:9" s="302" customFormat="1" hidden="1">
      <c r="A524" s="1152"/>
      <c r="B524" s="475"/>
      <c r="C524" s="916"/>
      <c r="D524" s="916"/>
      <c r="E524" s="905"/>
      <c r="F524" s="841"/>
      <c r="G524" s="841"/>
      <c r="H524" s="840">
        <f t="shared" si="16"/>
        <v>0</v>
      </c>
      <c r="I524" s="840">
        <f t="shared" si="17"/>
        <v>0</v>
      </c>
    </row>
    <row r="525" spans="1:9" s="302" customFormat="1" hidden="1">
      <c r="A525" s="1152"/>
      <c r="B525" s="475"/>
      <c r="C525" s="916"/>
      <c r="D525" s="916"/>
      <c r="E525" s="905"/>
      <c r="F525" s="841"/>
      <c r="G525" s="841"/>
      <c r="H525" s="840">
        <f t="shared" si="16"/>
        <v>0</v>
      </c>
      <c r="I525" s="840">
        <f t="shared" si="17"/>
        <v>0</v>
      </c>
    </row>
    <row r="526" spans="1:9" s="302" customFormat="1" hidden="1">
      <c r="A526" s="1152"/>
      <c r="B526" s="475"/>
      <c r="C526" s="916"/>
      <c r="D526" s="916"/>
      <c r="E526" s="905"/>
      <c r="F526" s="841"/>
      <c r="G526" s="841"/>
      <c r="H526" s="840">
        <f t="shared" si="16"/>
        <v>0</v>
      </c>
      <c r="I526" s="840">
        <f t="shared" si="17"/>
        <v>0</v>
      </c>
    </row>
    <row r="527" spans="1:9" s="302" customFormat="1" hidden="1">
      <c r="A527" s="1152"/>
      <c r="B527" s="475"/>
      <c r="C527" s="916"/>
      <c r="D527" s="916"/>
      <c r="E527" s="905"/>
      <c r="F527" s="841"/>
      <c r="G527" s="841"/>
      <c r="H527" s="840">
        <f t="shared" si="16"/>
        <v>0</v>
      </c>
      <c r="I527" s="840">
        <f t="shared" si="17"/>
        <v>0</v>
      </c>
    </row>
    <row r="528" spans="1:9" s="302" customFormat="1" hidden="1">
      <c r="A528" s="1152"/>
      <c r="B528" s="475"/>
      <c r="C528" s="916"/>
      <c r="D528" s="916"/>
      <c r="E528" s="905"/>
      <c r="F528" s="841"/>
      <c r="G528" s="841"/>
      <c r="H528" s="840">
        <f t="shared" si="16"/>
        <v>0</v>
      </c>
      <c r="I528" s="840">
        <f t="shared" si="17"/>
        <v>0</v>
      </c>
    </row>
    <row r="529" spans="1:9" s="302" customFormat="1" hidden="1">
      <c r="A529" s="1152"/>
      <c r="B529" s="475"/>
      <c r="C529" s="916"/>
      <c r="D529" s="916"/>
      <c r="E529" s="905"/>
      <c r="F529" s="841"/>
      <c r="G529" s="841"/>
      <c r="H529" s="840">
        <f t="shared" si="16"/>
        <v>0</v>
      </c>
      <c r="I529" s="840">
        <f t="shared" si="17"/>
        <v>0</v>
      </c>
    </row>
    <row r="530" spans="1:9" s="302" customFormat="1" hidden="1">
      <c r="A530" s="1152"/>
      <c r="B530" s="475"/>
      <c r="C530" s="916"/>
      <c r="D530" s="916"/>
      <c r="E530" s="905"/>
      <c r="F530" s="841"/>
      <c r="G530" s="841"/>
      <c r="H530" s="840">
        <f t="shared" si="16"/>
        <v>0</v>
      </c>
      <c r="I530" s="840">
        <f t="shared" si="17"/>
        <v>0</v>
      </c>
    </row>
    <row r="531" spans="1:9" s="302" customFormat="1" hidden="1">
      <c r="A531" s="1152"/>
      <c r="B531" s="475"/>
      <c r="C531" s="916"/>
      <c r="D531" s="916"/>
      <c r="E531" s="905"/>
      <c r="F531" s="841"/>
      <c r="G531" s="841"/>
      <c r="H531" s="840">
        <f t="shared" si="16"/>
        <v>0</v>
      </c>
      <c r="I531" s="840">
        <f t="shared" si="17"/>
        <v>0</v>
      </c>
    </row>
    <row r="532" spans="1:9" s="302" customFormat="1" hidden="1">
      <c r="A532" s="1152"/>
      <c r="B532" s="475"/>
      <c r="C532" s="916"/>
      <c r="D532" s="916"/>
      <c r="E532" s="905"/>
      <c r="F532" s="841"/>
      <c r="G532" s="841"/>
      <c r="H532" s="840">
        <f t="shared" si="16"/>
        <v>0</v>
      </c>
      <c r="I532" s="840">
        <f t="shared" si="17"/>
        <v>0</v>
      </c>
    </row>
    <row r="533" spans="1:9" s="302" customFormat="1" hidden="1">
      <c r="A533" s="1152"/>
      <c r="B533" s="475"/>
      <c r="C533" s="916"/>
      <c r="D533" s="916"/>
      <c r="E533" s="905"/>
      <c r="F533" s="841"/>
      <c r="G533" s="841"/>
      <c r="H533" s="840">
        <f t="shared" si="16"/>
        <v>0</v>
      </c>
      <c r="I533" s="840">
        <f t="shared" si="17"/>
        <v>0</v>
      </c>
    </row>
    <row r="534" spans="1:9" s="302" customFormat="1" hidden="1">
      <c r="A534" s="1152"/>
      <c r="B534" s="475"/>
      <c r="C534" s="916"/>
      <c r="D534" s="916"/>
      <c r="E534" s="905"/>
      <c r="F534" s="841"/>
      <c r="G534" s="841"/>
      <c r="H534" s="840">
        <f t="shared" si="16"/>
        <v>0</v>
      </c>
      <c r="I534" s="840">
        <f t="shared" si="17"/>
        <v>0</v>
      </c>
    </row>
    <row r="535" spans="1:9" s="302" customFormat="1" hidden="1">
      <c r="A535" s="1152"/>
      <c r="B535" s="475"/>
      <c r="C535" s="916"/>
      <c r="D535" s="916"/>
      <c r="E535" s="905"/>
      <c r="F535" s="841"/>
      <c r="G535" s="841"/>
      <c r="H535" s="840">
        <f t="shared" si="16"/>
        <v>0</v>
      </c>
      <c r="I535" s="840">
        <f t="shared" si="17"/>
        <v>0</v>
      </c>
    </row>
    <row r="536" spans="1:9" s="302" customFormat="1" hidden="1">
      <c r="A536" s="1152"/>
      <c r="B536" s="475"/>
      <c r="C536" s="916"/>
      <c r="D536" s="916"/>
      <c r="E536" s="905"/>
      <c r="F536" s="841"/>
      <c r="G536" s="841"/>
      <c r="H536" s="840">
        <f t="shared" si="16"/>
        <v>0</v>
      </c>
      <c r="I536" s="840">
        <f t="shared" si="17"/>
        <v>0</v>
      </c>
    </row>
    <row r="537" spans="1:9" s="302" customFormat="1" hidden="1">
      <c r="A537" s="1152"/>
      <c r="B537" s="475"/>
      <c r="C537" s="916"/>
      <c r="D537" s="916"/>
      <c r="E537" s="905"/>
      <c r="F537" s="841"/>
      <c r="G537" s="841"/>
      <c r="H537" s="840">
        <f t="shared" si="16"/>
        <v>0</v>
      </c>
      <c r="I537" s="840">
        <f t="shared" si="17"/>
        <v>0</v>
      </c>
    </row>
    <row r="538" spans="1:9" s="302" customFormat="1" hidden="1">
      <c r="A538" s="1152"/>
      <c r="B538" s="846"/>
      <c r="C538" s="905"/>
      <c r="D538" s="905"/>
      <c r="E538" s="905"/>
      <c r="F538" s="841"/>
      <c r="G538" s="841"/>
      <c r="H538" s="840">
        <f t="shared" si="16"/>
        <v>0</v>
      </c>
      <c r="I538" s="840">
        <f t="shared" si="17"/>
        <v>0</v>
      </c>
    </row>
    <row r="539" spans="1:9" s="302" customFormat="1" hidden="1">
      <c r="A539" s="1152"/>
      <c r="B539" s="892"/>
      <c r="C539" s="905"/>
      <c r="D539" s="905"/>
      <c r="E539" s="905"/>
      <c r="F539" s="841"/>
      <c r="G539" s="841"/>
      <c r="H539" s="840">
        <f t="shared" si="16"/>
        <v>0</v>
      </c>
      <c r="I539" s="840">
        <f t="shared" si="17"/>
        <v>0</v>
      </c>
    </row>
    <row r="540" spans="1:9" s="302" customFormat="1" hidden="1">
      <c r="A540" s="1152"/>
      <c r="B540" s="887"/>
      <c r="C540" s="916"/>
      <c r="D540" s="916"/>
      <c r="E540" s="905"/>
      <c r="F540" s="841"/>
      <c r="G540" s="841"/>
      <c r="H540" s="840">
        <f t="shared" si="16"/>
        <v>0</v>
      </c>
      <c r="I540" s="840">
        <f t="shared" si="17"/>
        <v>0</v>
      </c>
    </row>
    <row r="541" spans="1:9" s="302" customFormat="1" hidden="1">
      <c r="A541" s="1152"/>
      <c r="B541" s="475"/>
      <c r="C541" s="916"/>
      <c r="D541" s="916"/>
      <c r="E541" s="905"/>
      <c r="F541" s="841"/>
      <c r="G541" s="841"/>
      <c r="H541" s="840">
        <f t="shared" si="16"/>
        <v>0</v>
      </c>
      <c r="I541" s="840">
        <f t="shared" si="17"/>
        <v>0</v>
      </c>
    </row>
    <row r="542" spans="1:9" s="302" customFormat="1" hidden="1">
      <c r="A542" s="1152"/>
      <c r="B542" s="475"/>
      <c r="C542" s="916"/>
      <c r="D542" s="916"/>
      <c r="E542" s="905"/>
      <c r="F542" s="841"/>
      <c r="G542" s="841"/>
      <c r="H542" s="840">
        <f t="shared" si="16"/>
        <v>0</v>
      </c>
      <c r="I542" s="840">
        <f t="shared" si="17"/>
        <v>0</v>
      </c>
    </row>
    <row r="543" spans="1:9" s="302" customFormat="1" hidden="1">
      <c r="A543" s="1152"/>
      <c r="B543" s="475"/>
      <c r="C543" s="916"/>
      <c r="D543" s="916"/>
      <c r="E543" s="905"/>
      <c r="F543" s="841"/>
      <c r="G543" s="841"/>
      <c r="H543" s="840">
        <f t="shared" si="16"/>
        <v>0</v>
      </c>
      <c r="I543" s="840">
        <f t="shared" si="17"/>
        <v>0</v>
      </c>
    </row>
    <row r="544" spans="1:9" s="302" customFormat="1" hidden="1">
      <c r="A544" s="1152"/>
      <c r="B544" s="475"/>
      <c r="C544" s="905"/>
      <c r="D544" s="905"/>
      <c r="E544" s="905"/>
      <c r="F544" s="841"/>
      <c r="G544" s="841"/>
      <c r="H544" s="840">
        <f t="shared" si="16"/>
        <v>0</v>
      </c>
      <c r="I544" s="840">
        <f t="shared" si="17"/>
        <v>0</v>
      </c>
    </row>
    <row r="545" spans="1:9" s="302" customFormat="1" hidden="1">
      <c r="A545" s="1152"/>
      <c r="B545" s="475"/>
      <c r="C545" s="916"/>
      <c r="D545" s="916"/>
      <c r="E545" s="905"/>
      <c r="F545" s="841"/>
      <c r="G545" s="841"/>
      <c r="H545" s="840">
        <f t="shared" si="16"/>
        <v>0</v>
      </c>
      <c r="I545" s="840">
        <f t="shared" si="17"/>
        <v>0</v>
      </c>
    </row>
    <row r="546" spans="1:9" s="302" customFormat="1" hidden="1">
      <c r="A546" s="1152"/>
      <c r="B546" s="475"/>
      <c r="C546" s="916"/>
      <c r="D546" s="916"/>
      <c r="E546" s="905"/>
      <c r="F546" s="841"/>
      <c r="G546" s="841"/>
      <c r="H546" s="840">
        <f t="shared" si="16"/>
        <v>0</v>
      </c>
      <c r="I546" s="840">
        <f t="shared" si="17"/>
        <v>0</v>
      </c>
    </row>
    <row r="547" spans="1:9" s="302" customFormat="1" hidden="1">
      <c r="A547" s="1152"/>
      <c r="B547" s="475"/>
      <c r="C547" s="912"/>
      <c r="D547" s="912"/>
      <c r="E547" s="921"/>
      <c r="F547" s="841"/>
      <c r="G547" s="841"/>
      <c r="H547" s="840">
        <f t="shared" si="16"/>
        <v>0</v>
      </c>
      <c r="I547" s="840">
        <f t="shared" si="17"/>
        <v>0</v>
      </c>
    </row>
    <row r="548" spans="1:9" s="302" customFormat="1" hidden="1">
      <c r="A548" s="1152"/>
      <c r="B548" s="475"/>
      <c r="C548" s="916"/>
      <c r="D548" s="916"/>
      <c r="E548" s="905"/>
      <c r="F548" s="841"/>
      <c r="G548" s="841"/>
      <c r="H548" s="840">
        <f t="shared" si="16"/>
        <v>0</v>
      </c>
      <c r="I548" s="840">
        <f t="shared" si="17"/>
        <v>0</v>
      </c>
    </row>
    <row r="549" spans="1:9" s="302" customFormat="1" hidden="1">
      <c r="A549" s="1152"/>
      <c r="B549" s="475"/>
      <c r="C549" s="916"/>
      <c r="D549" s="916"/>
      <c r="E549" s="905"/>
      <c r="F549" s="841"/>
      <c r="G549" s="841"/>
      <c r="H549" s="840">
        <f t="shared" si="16"/>
        <v>0</v>
      </c>
      <c r="I549" s="840">
        <f t="shared" si="17"/>
        <v>0</v>
      </c>
    </row>
    <row r="550" spans="1:9" s="302" customFormat="1" hidden="1">
      <c r="A550" s="1152"/>
      <c r="B550" s="475"/>
      <c r="C550" s="916"/>
      <c r="D550" s="916"/>
      <c r="E550" s="905"/>
      <c r="F550" s="841"/>
      <c r="G550" s="841"/>
      <c r="H550" s="840">
        <f t="shared" si="16"/>
        <v>0</v>
      </c>
      <c r="I550" s="840">
        <f t="shared" si="17"/>
        <v>0</v>
      </c>
    </row>
    <row r="551" spans="1:9" s="302" customFormat="1" ht="18" hidden="1" customHeight="1">
      <c r="A551" s="1152"/>
      <c r="B551" s="475"/>
      <c r="C551" s="916"/>
      <c r="D551" s="916"/>
      <c r="E551" s="905"/>
      <c r="F551" s="841"/>
      <c r="G551" s="841"/>
      <c r="H551" s="840">
        <f t="shared" si="16"/>
        <v>0</v>
      </c>
      <c r="I551" s="840">
        <f t="shared" si="17"/>
        <v>0</v>
      </c>
    </row>
    <row r="552" spans="1:9" s="302" customFormat="1" ht="18" hidden="1" customHeight="1">
      <c r="A552" s="1153"/>
      <c r="B552" s="893"/>
      <c r="C552" s="922"/>
      <c r="D552" s="922"/>
      <c r="E552" s="923"/>
      <c r="F552" s="841"/>
      <c r="G552" s="841"/>
      <c r="H552" s="840">
        <f t="shared" si="16"/>
        <v>0</v>
      </c>
      <c r="I552" s="840">
        <f t="shared" si="17"/>
        <v>0</v>
      </c>
    </row>
    <row r="553" spans="1:9" s="302" customFormat="1" ht="18" hidden="1" customHeight="1">
      <c r="A553" s="1153"/>
      <c r="B553" s="887"/>
      <c r="C553" s="916"/>
      <c r="D553" s="916"/>
      <c r="E553" s="907"/>
      <c r="F553" s="841"/>
      <c r="G553" s="841"/>
      <c r="H553" s="840">
        <f t="shared" si="16"/>
        <v>0</v>
      </c>
      <c r="I553" s="840">
        <f t="shared" si="17"/>
        <v>0</v>
      </c>
    </row>
    <row r="554" spans="1:9" s="302" customFormat="1" ht="18" hidden="1" customHeight="1">
      <c r="A554" s="1153"/>
      <c r="B554" s="887"/>
      <c r="C554" s="916"/>
      <c r="D554" s="916"/>
      <c r="E554" s="907"/>
      <c r="F554" s="841"/>
      <c r="G554" s="841"/>
      <c r="H554" s="840">
        <f t="shared" si="16"/>
        <v>0</v>
      </c>
      <c r="I554" s="840">
        <f t="shared" si="17"/>
        <v>0</v>
      </c>
    </row>
    <row r="555" spans="1:9" s="302" customFormat="1" ht="18" hidden="1" customHeight="1">
      <c r="A555" s="1153"/>
      <c r="B555" s="887"/>
      <c r="C555" s="916"/>
      <c r="D555" s="916"/>
      <c r="E555" s="907"/>
      <c r="F555" s="841"/>
      <c r="G555" s="841"/>
      <c r="H555" s="840">
        <f t="shared" si="16"/>
        <v>0</v>
      </c>
      <c r="I555" s="840">
        <f t="shared" si="17"/>
        <v>0</v>
      </c>
    </row>
    <row r="556" spans="1:9" s="302" customFormat="1" ht="18" hidden="1" customHeight="1">
      <c r="A556" s="1153"/>
      <c r="B556" s="887"/>
      <c r="C556" s="916"/>
      <c r="D556" s="916"/>
      <c r="E556" s="907"/>
      <c r="F556" s="841"/>
      <c r="G556" s="841"/>
      <c r="H556" s="840">
        <f t="shared" si="16"/>
        <v>0</v>
      </c>
      <c r="I556" s="840">
        <f t="shared" si="17"/>
        <v>0</v>
      </c>
    </row>
    <row r="557" spans="1:9" s="302" customFormat="1" ht="18" hidden="1" customHeight="1">
      <c r="A557" s="1153"/>
      <c r="B557" s="887"/>
      <c r="C557" s="916"/>
      <c r="D557" s="916"/>
      <c r="E557" s="907"/>
      <c r="F557" s="841"/>
      <c r="G557" s="841"/>
      <c r="H557" s="840">
        <f t="shared" si="16"/>
        <v>0</v>
      </c>
      <c r="I557" s="840">
        <f t="shared" si="17"/>
        <v>0</v>
      </c>
    </row>
    <row r="558" spans="1:9" s="302" customFormat="1" ht="18" hidden="1" customHeight="1">
      <c r="A558" s="1153"/>
      <c r="B558" s="475"/>
      <c r="C558" s="916"/>
      <c r="D558" s="916"/>
      <c r="E558" s="916"/>
      <c r="F558" s="841"/>
      <c r="G558" s="841"/>
      <c r="H558" s="840">
        <f t="shared" si="16"/>
        <v>0</v>
      </c>
      <c r="I558" s="840">
        <f t="shared" si="17"/>
        <v>0</v>
      </c>
    </row>
    <row r="559" spans="1:9" s="302" customFormat="1" ht="18" hidden="1" customHeight="1">
      <c r="A559" s="1153"/>
      <c r="B559" s="475"/>
      <c r="C559" s="912"/>
      <c r="D559" s="912"/>
      <c r="E559" s="912"/>
      <c r="F559" s="841"/>
      <c r="G559" s="841"/>
      <c r="H559" s="840">
        <f t="shared" si="16"/>
        <v>0</v>
      </c>
      <c r="I559" s="840">
        <f t="shared" si="17"/>
        <v>0</v>
      </c>
    </row>
    <row r="560" spans="1:9" s="302" customFormat="1" ht="18" hidden="1" customHeight="1">
      <c r="A560" s="1153"/>
      <c r="B560" s="475"/>
      <c r="C560" s="912"/>
      <c r="D560" s="912"/>
      <c r="E560" s="912"/>
      <c r="F560" s="841"/>
      <c r="G560" s="841"/>
      <c r="H560" s="840">
        <f t="shared" si="16"/>
        <v>0</v>
      </c>
      <c r="I560" s="840">
        <f t="shared" si="17"/>
        <v>0</v>
      </c>
    </row>
    <row r="561" spans="1:9" s="302" customFormat="1" ht="18" hidden="1" customHeight="1">
      <c r="A561" s="1153"/>
      <c r="B561" s="864"/>
      <c r="C561" s="924"/>
      <c r="D561" s="924"/>
      <c r="E561" s="924"/>
      <c r="F561" s="841"/>
      <c r="G561" s="841"/>
      <c r="H561" s="840">
        <f t="shared" si="16"/>
        <v>0</v>
      </c>
      <c r="I561" s="840">
        <f t="shared" si="17"/>
        <v>0</v>
      </c>
    </row>
    <row r="562" spans="1:9">
      <c r="A562" s="1151"/>
      <c r="B562" s="461" t="s">
        <v>253</v>
      </c>
      <c r="C562" s="919">
        <f>SUM(C475:C561)</f>
        <v>1872725</v>
      </c>
      <c r="D562" s="919">
        <f>SUM(D475:D561)</f>
        <v>987919</v>
      </c>
      <c r="E562" s="919">
        <f>SUM(E475:E561)</f>
        <v>884806</v>
      </c>
      <c r="F562" s="848"/>
      <c r="G562" s="849"/>
      <c r="H562" s="840">
        <f t="shared" si="16"/>
        <v>0</v>
      </c>
      <c r="I562" s="840">
        <f t="shared" si="17"/>
        <v>3745450</v>
      </c>
    </row>
    <row r="563" spans="1:9" s="302" customFormat="1" ht="75">
      <c r="A563" s="1068" t="s">
        <v>328</v>
      </c>
      <c r="B563" s="887" t="s">
        <v>952</v>
      </c>
      <c r="C563" s="530">
        <v>43400</v>
      </c>
      <c r="D563" s="530">
        <v>43400</v>
      </c>
      <c r="E563" s="905"/>
      <c r="F563" s="854"/>
      <c r="G563" s="854"/>
      <c r="H563" s="840">
        <f t="shared" si="16"/>
        <v>0</v>
      </c>
      <c r="I563" s="840">
        <f t="shared" si="17"/>
        <v>86800</v>
      </c>
    </row>
    <row r="564" spans="1:9" s="302" customFormat="1" ht="37.5">
      <c r="A564" s="1071"/>
      <c r="B564" s="475" t="s">
        <v>1232</v>
      </c>
      <c r="C564" s="530">
        <v>30000</v>
      </c>
      <c r="D564" s="530">
        <v>30000</v>
      </c>
      <c r="E564" s="905"/>
      <c r="F564" s="841"/>
      <c r="G564" s="841"/>
      <c r="H564" s="840">
        <f t="shared" si="16"/>
        <v>0</v>
      </c>
      <c r="I564" s="840">
        <f t="shared" si="17"/>
        <v>60000</v>
      </c>
    </row>
    <row r="565" spans="1:9" s="302" customFormat="1" ht="56.25">
      <c r="A565" s="1071"/>
      <c r="B565" s="475" t="s">
        <v>1233</v>
      </c>
      <c r="C565" s="530">
        <v>50000</v>
      </c>
      <c r="D565" s="530"/>
      <c r="E565" s="905">
        <v>50000</v>
      </c>
      <c r="F565" s="841"/>
      <c r="G565" s="841"/>
      <c r="H565" s="840">
        <f t="shared" si="16"/>
        <v>0</v>
      </c>
      <c r="I565" s="840">
        <f t="shared" si="17"/>
        <v>100000</v>
      </c>
    </row>
    <row r="566" spans="1:9" s="302" customFormat="1" ht="93.75">
      <c r="A566" s="1071"/>
      <c r="B566" s="475" t="s">
        <v>2008</v>
      </c>
      <c r="C566" s="905">
        <v>35000</v>
      </c>
      <c r="D566" s="908"/>
      <c r="E566" s="905">
        <v>35000</v>
      </c>
      <c r="F566" s="841"/>
      <c r="G566" s="841"/>
      <c r="H566" s="840">
        <f t="shared" si="16"/>
        <v>0</v>
      </c>
      <c r="I566" s="840">
        <f t="shared" si="17"/>
        <v>70000</v>
      </c>
    </row>
    <row r="567" spans="1:9" s="302" customFormat="1" ht="93.75">
      <c r="A567" s="1071"/>
      <c r="B567" s="475" t="s">
        <v>2008</v>
      </c>
      <c r="C567" s="908">
        <v>35000</v>
      </c>
      <c r="D567" s="908"/>
      <c r="E567" s="905">
        <v>35000</v>
      </c>
      <c r="F567" s="841"/>
      <c r="G567" s="841"/>
      <c r="H567" s="840">
        <f t="shared" si="16"/>
        <v>0</v>
      </c>
      <c r="I567" s="840">
        <f t="shared" si="17"/>
        <v>70000</v>
      </c>
    </row>
    <row r="568" spans="1:9" s="302" customFormat="1" ht="56.25">
      <c r="A568" s="1071"/>
      <c r="B568" s="475" t="s">
        <v>2567</v>
      </c>
      <c r="C568" s="912">
        <v>50000</v>
      </c>
      <c r="D568" s="912">
        <v>50000</v>
      </c>
      <c r="E568" s="912"/>
      <c r="F568" s="841"/>
      <c r="G568" s="841"/>
      <c r="H568" s="840">
        <f t="shared" si="16"/>
        <v>0</v>
      </c>
      <c r="I568" s="840">
        <f t="shared" si="17"/>
        <v>100000</v>
      </c>
    </row>
    <row r="569" spans="1:9" s="302" customFormat="1" hidden="1">
      <c r="A569" s="1071"/>
      <c r="B569" s="475"/>
      <c r="C569" s="916"/>
      <c r="D569" s="916"/>
      <c r="E569" s="916"/>
      <c r="F569" s="841"/>
      <c r="G569" s="841"/>
      <c r="H569" s="840">
        <f t="shared" si="16"/>
        <v>0</v>
      </c>
      <c r="I569" s="840">
        <f t="shared" si="17"/>
        <v>0</v>
      </c>
    </row>
    <row r="570" spans="1:9" s="302" customFormat="1" hidden="1">
      <c r="A570" s="1071"/>
      <c r="B570" s="475"/>
      <c r="C570" s="916"/>
      <c r="D570" s="916"/>
      <c r="E570" s="916"/>
      <c r="F570" s="841"/>
      <c r="G570" s="841"/>
      <c r="H570" s="840">
        <f t="shared" si="16"/>
        <v>0</v>
      </c>
      <c r="I570" s="840">
        <f t="shared" si="17"/>
        <v>0</v>
      </c>
    </row>
    <row r="571" spans="1:9" s="302" customFormat="1" hidden="1">
      <c r="A571" s="1071"/>
      <c r="B571" s="475"/>
      <c r="C571" s="916"/>
      <c r="D571" s="916"/>
      <c r="E571" s="916"/>
      <c r="F571" s="841"/>
      <c r="G571" s="841"/>
      <c r="H571" s="840">
        <f t="shared" si="16"/>
        <v>0</v>
      </c>
      <c r="I571" s="840">
        <f t="shared" si="17"/>
        <v>0</v>
      </c>
    </row>
    <row r="572" spans="1:9" s="302" customFormat="1" hidden="1">
      <c r="A572" s="1071"/>
      <c r="B572" s="475"/>
      <c r="C572" s="916"/>
      <c r="D572" s="916"/>
      <c r="E572" s="916"/>
      <c r="F572" s="841"/>
      <c r="G572" s="841"/>
      <c r="H572" s="840">
        <f t="shared" si="16"/>
        <v>0</v>
      </c>
      <c r="I572" s="840">
        <f t="shared" si="17"/>
        <v>0</v>
      </c>
    </row>
    <row r="573" spans="1:9" s="302" customFormat="1" hidden="1">
      <c r="A573" s="1071"/>
      <c r="B573" s="475"/>
      <c r="C573" s="916"/>
      <c r="D573" s="916"/>
      <c r="E573" s="916"/>
      <c r="F573" s="841"/>
      <c r="G573" s="841"/>
      <c r="H573" s="840">
        <f t="shared" si="16"/>
        <v>0</v>
      </c>
      <c r="I573" s="840">
        <f t="shared" si="17"/>
        <v>0</v>
      </c>
    </row>
    <row r="574" spans="1:9" s="302" customFormat="1" hidden="1">
      <c r="A574" s="1071"/>
      <c r="B574" s="475"/>
      <c r="C574" s="916"/>
      <c r="D574" s="916"/>
      <c r="E574" s="916"/>
      <c r="F574" s="841"/>
      <c r="G574" s="841"/>
      <c r="H574" s="840">
        <f t="shared" si="16"/>
        <v>0</v>
      </c>
      <c r="I574" s="840">
        <f t="shared" si="17"/>
        <v>0</v>
      </c>
    </row>
    <row r="575" spans="1:9" s="302" customFormat="1" hidden="1">
      <c r="A575" s="1071"/>
      <c r="B575" s="475"/>
      <c r="C575" s="916"/>
      <c r="D575" s="916"/>
      <c r="E575" s="916"/>
      <c r="F575" s="841"/>
      <c r="G575" s="841"/>
      <c r="H575" s="840">
        <f t="shared" si="16"/>
        <v>0</v>
      </c>
      <c r="I575" s="840">
        <f t="shared" si="17"/>
        <v>0</v>
      </c>
    </row>
    <row r="576" spans="1:9" s="302" customFormat="1" hidden="1">
      <c r="A576" s="1071"/>
      <c r="B576" s="475"/>
      <c r="C576" s="916"/>
      <c r="D576" s="916"/>
      <c r="E576" s="916"/>
      <c r="F576" s="841"/>
      <c r="G576" s="841"/>
      <c r="H576" s="840">
        <f t="shared" si="16"/>
        <v>0</v>
      </c>
      <c r="I576" s="840">
        <f t="shared" si="17"/>
        <v>0</v>
      </c>
    </row>
    <row r="577" spans="1:9" s="302" customFormat="1" hidden="1">
      <c r="A577" s="1071"/>
      <c r="B577" s="475"/>
      <c r="C577" s="916"/>
      <c r="D577" s="916"/>
      <c r="E577" s="916"/>
      <c r="F577" s="841"/>
      <c r="G577" s="841"/>
      <c r="H577" s="840">
        <f t="shared" si="16"/>
        <v>0</v>
      </c>
      <c r="I577" s="840">
        <f t="shared" si="17"/>
        <v>0</v>
      </c>
    </row>
    <row r="578" spans="1:9" s="302" customFormat="1" hidden="1">
      <c r="A578" s="1071"/>
      <c r="B578" s="475"/>
      <c r="C578" s="912"/>
      <c r="D578" s="912"/>
      <c r="E578" s="912"/>
      <c r="F578" s="841"/>
      <c r="G578" s="841"/>
      <c r="H578" s="840">
        <f t="shared" si="16"/>
        <v>0</v>
      </c>
      <c r="I578" s="840">
        <f t="shared" si="17"/>
        <v>0</v>
      </c>
    </row>
    <row r="579" spans="1:9" s="302" customFormat="1" hidden="1">
      <c r="A579" s="1071"/>
      <c r="B579" s="475"/>
      <c r="C579" s="912"/>
      <c r="D579" s="912"/>
      <c r="E579" s="912"/>
      <c r="F579" s="841"/>
      <c r="G579" s="841"/>
      <c r="H579" s="840">
        <f t="shared" si="16"/>
        <v>0</v>
      </c>
      <c r="I579" s="840">
        <f t="shared" si="17"/>
        <v>0</v>
      </c>
    </row>
    <row r="580" spans="1:9" s="302" customFormat="1" hidden="1">
      <c r="A580" s="1071"/>
      <c r="B580" s="475"/>
      <c r="C580" s="916"/>
      <c r="D580" s="916"/>
      <c r="E580" s="916"/>
      <c r="F580" s="841"/>
      <c r="G580" s="841"/>
      <c r="H580" s="840">
        <f t="shared" si="16"/>
        <v>0</v>
      </c>
      <c r="I580" s="840">
        <f t="shared" si="17"/>
        <v>0</v>
      </c>
    </row>
    <row r="581" spans="1:9" s="302" customFormat="1" hidden="1">
      <c r="A581" s="1071"/>
      <c r="B581" s="475"/>
      <c r="C581" s="916"/>
      <c r="D581" s="916"/>
      <c r="E581" s="916"/>
      <c r="F581" s="841"/>
      <c r="G581" s="841"/>
      <c r="H581" s="840">
        <f t="shared" si="16"/>
        <v>0</v>
      </c>
      <c r="I581" s="840">
        <f t="shared" si="17"/>
        <v>0</v>
      </c>
    </row>
    <row r="582" spans="1:9" s="302" customFormat="1" hidden="1">
      <c r="A582" s="1071"/>
      <c r="B582" s="475"/>
      <c r="C582" s="916"/>
      <c r="D582" s="916"/>
      <c r="E582" s="916"/>
      <c r="F582" s="841"/>
      <c r="G582" s="841"/>
      <c r="H582" s="840">
        <f t="shared" si="16"/>
        <v>0</v>
      </c>
      <c r="I582" s="840">
        <f t="shared" si="17"/>
        <v>0</v>
      </c>
    </row>
    <row r="583" spans="1:9" s="302" customFormat="1" hidden="1">
      <c r="A583" s="1071"/>
      <c r="B583" s="475"/>
      <c r="C583" s="916"/>
      <c r="D583" s="916"/>
      <c r="E583" s="912"/>
      <c r="F583" s="841"/>
      <c r="G583" s="841"/>
      <c r="H583" s="840">
        <f t="shared" si="16"/>
        <v>0</v>
      </c>
      <c r="I583" s="840">
        <f t="shared" si="17"/>
        <v>0</v>
      </c>
    </row>
    <row r="584" spans="1:9" s="302" customFormat="1" hidden="1">
      <c r="A584" s="1071"/>
      <c r="B584" s="475"/>
      <c r="C584" s="916"/>
      <c r="D584" s="916"/>
      <c r="E584" s="905"/>
      <c r="F584" s="841"/>
      <c r="G584" s="841"/>
      <c r="H584" s="840">
        <f t="shared" si="16"/>
        <v>0</v>
      </c>
      <c r="I584" s="840">
        <f t="shared" si="17"/>
        <v>0</v>
      </c>
    </row>
    <row r="585" spans="1:9" s="302" customFormat="1" hidden="1">
      <c r="A585" s="1071"/>
      <c r="B585" s="475"/>
      <c r="C585" s="916"/>
      <c r="D585" s="916"/>
      <c r="E585" s="905"/>
      <c r="F585" s="841"/>
      <c r="G585" s="841"/>
      <c r="H585" s="840">
        <f t="shared" ref="H585:H648" si="18">E585+D585-C585</f>
        <v>0</v>
      </c>
      <c r="I585" s="840">
        <f t="shared" ref="I585:I648" si="19">SUM(C585:E585)</f>
        <v>0</v>
      </c>
    </row>
    <row r="586" spans="1:9" s="302" customFormat="1" hidden="1">
      <c r="A586" s="1071"/>
      <c r="B586" s="475"/>
      <c r="C586" s="916"/>
      <c r="D586" s="916"/>
      <c r="E586" s="905"/>
      <c r="F586" s="841"/>
      <c r="G586" s="841"/>
      <c r="H586" s="840">
        <f t="shared" si="18"/>
        <v>0</v>
      </c>
      <c r="I586" s="840">
        <f t="shared" si="19"/>
        <v>0</v>
      </c>
    </row>
    <row r="587" spans="1:9" s="302" customFormat="1" hidden="1">
      <c r="A587" s="1071"/>
      <c r="B587" s="475"/>
      <c r="C587" s="916"/>
      <c r="D587" s="916"/>
      <c r="E587" s="905"/>
      <c r="F587" s="841"/>
      <c r="G587" s="841"/>
      <c r="H587" s="840">
        <f t="shared" si="18"/>
        <v>0</v>
      </c>
      <c r="I587" s="840">
        <f t="shared" si="19"/>
        <v>0</v>
      </c>
    </row>
    <row r="588" spans="1:9" s="302" customFormat="1" hidden="1">
      <c r="A588" s="1071"/>
      <c r="B588" s="475"/>
      <c r="C588" s="916"/>
      <c r="D588" s="916"/>
      <c r="E588" s="905"/>
      <c r="F588" s="841"/>
      <c r="G588" s="841"/>
      <c r="H588" s="840">
        <f t="shared" si="18"/>
        <v>0</v>
      </c>
      <c r="I588" s="840">
        <f t="shared" si="19"/>
        <v>0</v>
      </c>
    </row>
    <row r="589" spans="1:9" s="302" customFormat="1" hidden="1">
      <c r="A589" s="1071"/>
      <c r="B589" s="475"/>
      <c r="C589" s="916"/>
      <c r="D589" s="916"/>
      <c r="E589" s="905"/>
      <c r="F589" s="841"/>
      <c r="G589" s="841"/>
      <c r="H589" s="840">
        <f t="shared" si="18"/>
        <v>0</v>
      </c>
      <c r="I589" s="840">
        <f t="shared" si="19"/>
        <v>0</v>
      </c>
    </row>
    <row r="590" spans="1:9" s="302" customFormat="1" hidden="1">
      <c r="A590" s="1071"/>
      <c r="B590" s="475"/>
      <c r="C590" s="916"/>
      <c r="D590" s="916"/>
      <c r="E590" s="905"/>
      <c r="F590" s="841"/>
      <c r="G590" s="841"/>
      <c r="H590" s="840">
        <f t="shared" si="18"/>
        <v>0</v>
      </c>
      <c r="I590" s="840">
        <f t="shared" si="19"/>
        <v>0</v>
      </c>
    </row>
    <row r="591" spans="1:9" s="302" customFormat="1" hidden="1">
      <c r="A591" s="1071"/>
      <c r="B591" s="475"/>
      <c r="C591" s="916"/>
      <c r="D591" s="916"/>
      <c r="E591" s="905"/>
      <c r="F591" s="841"/>
      <c r="G591" s="841"/>
      <c r="H591" s="840">
        <f t="shared" si="18"/>
        <v>0</v>
      </c>
      <c r="I591" s="840">
        <f t="shared" si="19"/>
        <v>0</v>
      </c>
    </row>
    <row r="592" spans="1:9" s="302" customFormat="1" hidden="1">
      <c r="A592" s="1071"/>
      <c r="B592" s="475"/>
      <c r="C592" s="916"/>
      <c r="D592" s="916"/>
      <c r="E592" s="905"/>
      <c r="F592" s="841"/>
      <c r="G592" s="841"/>
      <c r="H592" s="840">
        <f t="shared" si="18"/>
        <v>0</v>
      </c>
      <c r="I592" s="840">
        <f t="shared" si="19"/>
        <v>0</v>
      </c>
    </row>
    <row r="593" spans="1:9" s="302" customFormat="1" hidden="1">
      <c r="A593" s="1071"/>
      <c r="B593" s="475"/>
      <c r="C593" s="916"/>
      <c r="D593" s="916"/>
      <c r="E593" s="905"/>
      <c r="F593" s="841"/>
      <c r="G593" s="841"/>
      <c r="H593" s="840">
        <f t="shared" si="18"/>
        <v>0</v>
      </c>
      <c r="I593" s="840">
        <f t="shared" si="19"/>
        <v>0</v>
      </c>
    </row>
    <row r="594" spans="1:9" s="302" customFormat="1" hidden="1">
      <c r="A594" s="1071"/>
      <c r="B594" s="475"/>
      <c r="C594" s="916"/>
      <c r="D594" s="916"/>
      <c r="E594" s="905"/>
      <c r="F594" s="841"/>
      <c r="G594" s="841"/>
      <c r="H594" s="840">
        <f t="shared" si="18"/>
        <v>0</v>
      </c>
      <c r="I594" s="840">
        <f t="shared" si="19"/>
        <v>0</v>
      </c>
    </row>
    <row r="595" spans="1:9" s="302" customFormat="1" hidden="1">
      <c r="A595" s="1071"/>
      <c r="B595" s="475"/>
      <c r="C595" s="916"/>
      <c r="D595" s="916"/>
      <c r="E595" s="905"/>
      <c r="F595" s="841"/>
      <c r="G595" s="841"/>
      <c r="H595" s="840">
        <f t="shared" si="18"/>
        <v>0</v>
      </c>
      <c r="I595" s="840">
        <f t="shared" si="19"/>
        <v>0</v>
      </c>
    </row>
    <row r="596" spans="1:9" s="302" customFormat="1" hidden="1">
      <c r="A596" s="1071"/>
      <c r="B596" s="475"/>
      <c r="C596" s="916"/>
      <c r="D596" s="916"/>
      <c r="E596" s="905"/>
      <c r="F596" s="841"/>
      <c r="G596" s="841"/>
      <c r="H596" s="840">
        <f t="shared" si="18"/>
        <v>0</v>
      </c>
      <c r="I596" s="840">
        <f t="shared" si="19"/>
        <v>0</v>
      </c>
    </row>
    <row r="597" spans="1:9" s="302" customFormat="1" hidden="1">
      <c r="A597" s="1071"/>
      <c r="B597" s="475"/>
      <c r="C597" s="916"/>
      <c r="D597" s="916"/>
      <c r="E597" s="905"/>
      <c r="F597" s="841"/>
      <c r="G597" s="841"/>
      <c r="H597" s="840">
        <f t="shared" si="18"/>
        <v>0</v>
      </c>
      <c r="I597" s="840">
        <f t="shared" si="19"/>
        <v>0</v>
      </c>
    </row>
    <row r="598" spans="1:9" s="302" customFormat="1" hidden="1">
      <c r="A598" s="1071"/>
      <c r="B598" s="475"/>
      <c r="C598" s="916"/>
      <c r="D598" s="916"/>
      <c r="E598" s="905"/>
      <c r="F598" s="841"/>
      <c r="G598" s="841"/>
      <c r="H598" s="840">
        <f t="shared" si="18"/>
        <v>0</v>
      </c>
      <c r="I598" s="840">
        <f t="shared" si="19"/>
        <v>0</v>
      </c>
    </row>
    <row r="599" spans="1:9" s="302" customFormat="1" hidden="1">
      <c r="A599" s="1071"/>
      <c r="B599" s="475"/>
      <c r="C599" s="916"/>
      <c r="D599" s="916"/>
      <c r="E599" s="905"/>
      <c r="F599" s="841"/>
      <c r="G599" s="841"/>
      <c r="H599" s="840">
        <f t="shared" si="18"/>
        <v>0</v>
      </c>
      <c r="I599" s="840">
        <f t="shared" si="19"/>
        <v>0</v>
      </c>
    </row>
    <row r="600" spans="1:9" s="302" customFormat="1" hidden="1">
      <c r="A600" s="1071"/>
      <c r="B600" s="475"/>
      <c r="C600" s="916"/>
      <c r="D600" s="916"/>
      <c r="E600" s="905"/>
      <c r="F600" s="841"/>
      <c r="G600" s="841"/>
      <c r="H600" s="840">
        <f t="shared" si="18"/>
        <v>0</v>
      </c>
      <c r="I600" s="840">
        <f t="shared" si="19"/>
        <v>0</v>
      </c>
    </row>
    <row r="601" spans="1:9" s="302" customFormat="1" hidden="1">
      <c r="A601" s="1071"/>
      <c r="B601" s="475"/>
      <c r="C601" s="916"/>
      <c r="D601" s="916"/>
      <c r="E601" s="905"/>
      <c r="F601" s="841"/>
      <c r="G601" s="841"/>
      <c r="H601" s="840">
        <f t="shared" si="18"/>
        <v>0</v>
      </c>
      <c r="I601" s="840">
        <f t="shared" si="19"/>
        <v>0</v>
      </c>
    </row>
    <row r="602" spans="1:9" s="302" customFormat="1" hidden="1">
      <c r="A602" s="1071"/>
      <c r="B602" s="475"/>
      <c r="C602" s="916"/>
      <c r="D602" s="916"/>
      <c r="E602" s="905"/>
      <c r="F602" s="841"/>
      <c r="G602" s="841"/>
      <c r="H602" s="840">
        <f t="shared" si="18"/>
        <v>0</v>
      </c>
      <c r="I602" s="840">
        <f t="shared" si="19"/>
        <v>0</v>
      </c>
    </row>
    <row r="603" spans="1:9" s="302" customFormat="1" hidden="1">
      <c r="A603" s="1071"/>
      <c r="B603" s="475"/>
      <c r="C603" s="916"/>
      <c r="D603" s="916"/>
      <c r="E603" s="905"/>
      <c r="F603" s="841"/>
      <c r="G603" s="841"/>
      <c r="H603" s="840">
        <f t="shared" si="18"/>
        <v>0</v>
      </c>
      <c r="I603" s="840">
        <f t="shared" si="19"/>
        <v>0</v>
      </c>
    </row>
    <row r="604" spans="1:9" s="302" customFormat="1" hidden="1">
      <c r="A604" s="1071"/>
      <c r="B604" s="475"/>
      <c r="C604" s="916"/>
      <c r="D604" s="916"/>
      <c r="E604" s="905"/>
      <c r="F604" s="841"/>
      <c r="G604" s="841"/>
      <c r="H604" s="840">
        <f t="shared" si="18"/>
        <v>0</v>
      </c>
      <c r="I604" s="840">
        <f t="shared" si="19"/>
        <v>0</v>
      </c>
    </row>
    <row r="605" spans="1:9" s="302" customFormat="1" hidden="1">
      <c r="A605" s="1071"/>
      <c r="B605" s="475"/>
      <c r="C605" s="916"/>
      <c r="D605" s="916"/>
      <c r="E605" s="905"/>
      <c r="F605" s="841"/>
      <c r="G605" s="841"/>
      <c r="H605" s="840">
        <f t="shared" si="18"/>
        <v>0</v>
      </c>
      <c r="I605" s="840">
        <f t="shared" si="19"/>
        <v>0</v>
      </c>
    </row>
    <row r="606" spans="1:9" s="302" customFormat="1" hidden="1">
      <c r="A606" s="1071"/>
      <c r="B606" s="475"/>
      <c r="C606" s="912"/>
      <c r="D606" s="912"/>
      <c r="E606" s="912"/>
      <c r="F606" s="841"/>
      <c r="G606" s="841"/>
      <c r="H606" s="840">
        <f t="shared" si="18"/>
        <v>0</v>
      </c>
      <c r="I606" s="840">
        <f t="shared" si="19"/>
        <v>0</v>
      </c>
    </row>
    <row r="607" spans="1:9" s="302" customFormat="1" hidden="1">
      <c r="A607" s="1071"/>
      <c r="B607" s="475"/>
      <c r="C607" s="905"/>
      <c r="D607" s="905"/>
      <c r="E607" s="905"/>
      <c r="F607" s="841"/>
      <c r="G607" s="841"/>
      <c r="H607" s="840">
        <f t="shared" si="18"/>
        <v>0</v>
      </c>
      <c r="I607" s="840">
        <f t="shared" si="19"/>
        <v>0</v>
      </c>
    </row>
    <row r="608" spans="1:9" s="302" customFormat="1" hidden="1">
      <c r="A608" s="1071"/>
      <c r="B608" s="475"/>
      <c r="C608" s="905"/>
      <c r="D608" s="905"/>
      <c r="E608" s="905"/>
      <c r="F608" s="841"/>
      <c r="G608" s="841"/>
      <c r="H608" s="840">
        <f t="shared" si="18"/>
        <v>0</v>
      </c>
      <c r="I608" s="840">
        <f t="shared" si="19"/>
        <v>0</v>
      </c>
    </row>
    <row r="609" spans="1:9" s="302" customFormat="1" hidden="1">
      <c r="A609" s="1071"/>
      <c r="B609" s="475"/>
      <c r="C609" s="916"/>
      <c r="D609" s="916"/>
      <c r="E609" s="916"/>
      <c r="F609" s="841"/>
      <c r="G609" s="841"/>
      <c r="H609" s="840">
        <f t="shared" si="18"/>
        <v>0</v>
      </c>
      <c r="I609" s="840">
        <f t="shared" si="19"/>
        <v>0</v>
      </c>
    </row>
    <row r="610" spans="1:9" s="302" customFormat="1" hidden="1">
      <c r="A610" s="1071"/>
      <c r="B610" s="475"/>
      <c r="C610" s="916"/>
      <c r="D610" s="916"/>
      <c r="E610" s="916"/>
      <c r="F610" s="841"/>
      <c r="G610" s="841"/>
      <c r="H610" s="840">
        <f t="shared" si="18"/>
        <v>0</v>
      </c>
      <c r="I610" s="840">
        <f t="shared" si="19"/>
        <v>0</v>
      </c>
    </row>
    <row r="611" spans="1:9" s="302" customFormat="1" hidden="1">
      <c r="A611" s="1071"/>
      <c r="B611" s="475"/>
      <c r="C611" s="916"/>
      <c r="D611" s="916"/>
      <c r="E611" s="916"/>
      <c r="F611" s="841"/>
      <c r="G611" s="841"/>
      <c r="H611" s="840">
        <f t="shared" si="18"/>
        <v>0</v>
      </c>
      <c r="I611" s="840">
        <f t="shared" si="19"/>
        <v>0</v>
      </c>
    </row>
    <row r="612" spans="1:9" s="302" customFormat="1" hidden="1">
      <c r="A612" s="1071"/>
      <c r="B612" s="475"/>
      <c r="C612" s="916"/>
      <c r="D612" s="916"/>
      <c r="E612" s="916"/>
      <c r="F612" s="841"/>
      <c r="G612" s="841"/>
      <c r="H612" s="840">
        <f t="shared" si="18"/>
        <v>0</v>
      </c>
      <c r="I612" s="840">
        <f t="shared" si="19"/>
        <v>0</v>
      </c>
    </row>
    <row r="613" spans="1:9" s="302" customFormat="1" hidden="1">
      <c r="A613" s="1071"/>
      <c r="B613" s="475"/>
      <c r="C613" s="916"/>
      <c r="D613" s="916"/>
      <c r="E613" s="916"/>
      <c r="F613" s="841"/>
      <c r="G613" s="841"/>
      <c r="H613" s="840">
        <f t="shared" si="18"/>
        <v>0</v>
      </c>
      <c r="I613" s="840">
        <f t="shared" si="19"/>
        <v>0</v>
      </c>
    </row>
    <row r="614" spans="1:9" s="302" customFormat="1" hidden="1">
      <c r="A614" s="1071"/>
      <c r="B614" s="864"/>
      <c r="C614" s="917"/>
      <c r="D614" s="917"/>
      <c r="E614" s="917"/>
      <c r="F614" s="841"/>
      <c r="G614" s="841"/>
      <c r="H614" s="840">
        <f t="shared" si="18"/>
        <v>0</v>
      </c>
      <c r="I614" s="840">
        <f t="shared" si="19"/>
        <v>0</v>
      </c>
    </row>
    <row r="615" spans="1:9" s="302" customFormat="1">
      <c r="A615" s="1068"/>
      <c r="B615" s="855" t="s">
        <v>253</v>
      </c>
      <c r="C615" s="925">
        <f>SUM(C563:C614)</f>
        <v>243400</v>
      </c>
      <c r="D615" s="925">
        <f>SUM(D563:D614)</f>
        <v>123400</v>
      </c>
      <c r="E615" s="925">
        <f>SUM(E563:E614)</f>
        <v>120000</v>
      </c>
      <c r="F615" s="850">
        <f>SUM(F563:F577)</f>
        <v>0</v>
      </c>
      <c r="G615" s="851">
        <f>SUM(G563:G577)</f>
        <v>0</v>
      </c>
      <c r="H615" s="840">
        <f t="shared" si="18"/>
        <v>0</v>
      </c>
      <c r="I615" s="840">
        <f t="shared" si="19"/>
        <v>486800</v>
      </c>
    </row>
    <row r="616" spans="1:9" ht="75">
      <c r="A616" s="1081" t="s">
        <v>329</v>
      </c>
      <c r="B616" s="887" t="s">
        <v>952</v>
      </c>
      <c r="C616" s="530">
        <v>38600</v>
      </c>
      <c r="D616" s="530">
        <v>38600</v>
      </c>
      <c r="E616" s="905"/>
      <c r="F616" s="854"/>
      <c r="G616" s="854"/>
      <c r="H616" s="840">
        <f t="shared" si="18"/>
        <v>0</v>
      </c>
      <c r="I616" s="840">
        <f t="shared" si="19"/>
        <v>77200</v>
      </c>
    </row>
    <row r="617" spans="1:9" ht="75">
      <c r="A617" s="1156"/>
      <c r="B617" s="475" t="s">
        <v>1663</v>
      </c>
      <c r="C617" s="905">
        <v>342000</v>
      </c>
      <c r="D617" s="905"/>
      <c r="E617" s="905">
        <v>342000</v>
      </c>
      <c r="F617" s="841"/>
      <c r="G617" s="841"/>
      <c r="H617" s="840">
        <f t="shared" si="18"/>
        <v>0</v>
      </c>
      <c r="I617" s="840">
        <f t="shared" si="19"/>
        <v>684000</v>
      </c>
    </row>
    <row r="618" spans="1:9" ht="75">
      <c r="A618" s="1156"/>
      <c r="B618" s="475" t="s">
        <v>1234</v>
      </c>
      <c r="C618" s="530">
        <v>10000</v>
      </c>
      <c r="D618" s="530"/>
      <c r="E618" s="905">
        <v>10000</v>
      </c>
      <c r="F618" s="841"/>
      <c r="G618" s="841"/>
      <c r="H618" s="840">
        <f t="shared" si="18"/>
        <v>0</v>
      </c>
      <c r="I618" s="840">
        <f t="shared" si="19"/>
        <v>20000</v>
      </c>
    </row>
    <row r="619" spans="1:9" ht="37.5">
      <c r="A619" s="1156"/>
      <c r="B619" s="475" t="s">
        <v>2009</v>
      </c>
      <c r="C619" s="908">
        <v>5000</v>
      </c>
      <c r="D619" s="908">
        <v>5000</v>
      </c>
      <c r="E619" s="905"/>
      <c r="F619" s="841"/>
      <c r="G619" s="841"/>
      <c r="H619" s="840">
        <f t="shared" si="18"/>
        <v>0</v>
      </c>
      <c r="I619" s="840">
        <f t="shared" si="19"/>
        <v>10000</v>
      </c>
    </row>
    <row r="620" spans="1:9" ht="56.25">
      <c r="A620" s="1156"/>
      <c r="B620" s="475" t="s">
        <v>2723</v>
      </c>
      <c r="C620" s="905">
        <v>6900</v>
      </c>
      <c r="D620" s="905">
        <v>6900</v>
      </c>
      <c r="E620" s="905"/>
      <c r="F620" s="841"/>
      <c r="G620" s="841"/>
      <c r="H620" s="840">
        <f t="shared" si="18"/>
        <v>0</v>
      </c>
      <c r="I620" s="840">
        <f t="shared" si="19"/>
        <v>13800</v>
      </c>
    </row>
    <row r="621" spans="1:9" hidden="1">
      <c r="A621" s="1157"/>
      <c r="B621" s="887"/>
      <c r="C621" s="916"/>
      <c r="D621" s="916"/>
      <c r="E621" s="907"/>
      <c r="F621" s="841"/>
      <c r="G621" s="841"/>
      <c r="H621" s="840">
        <f t="shared" si="18"/>
        <v>0</v>
      </c>
      <c r="I621" s="840">
        <f t="shared" si="19"/>
        <v>0</v>
      </c>
    </row>
    <row r="622" spans="1:9" hidden="1">
      <c r="A622" s="1157"/>
      <c r="B622" s="887"/>
      <c r="C622" s="916"/>
      <c r="D622" s="916"/>
      <c r="E622" s="907"/>
      <c r="F622" s="841"/>
      <c r="G622" s="841"/>
      <c r="H622" s="840">
        <f t="shared" si="18"/>
        <v>0</v>
      </c>
      <c r="I622" s="840">
        <f t="shared" si="19"/>
        <v>0</v>
      </c>
    </row>
    <row r="623" spans="1:9" hidden="1">
      <c r="A623" s="1157"/>
      <c r="B623" s="887"/>
      <c r="C623" s="916"/>
      <c r="D623" s="916"/>
      <c r="E623" s="907"/>
      <c r="F623" s="841"/>
      <c r="G623" s="841"/>
      <c r="H623" s="840">
        <f t="shared" si="18"/>
        <v>0</v>
      </c>
      <c r="I623" s="840">
        <f t="shared" si="19"/>
        <v>0</v>
      </c>
    </row>
    <row r="624" spans="1:9" s="302" customFormat="1" hidden="1">
      <c r="A624" s="1158"/>
      <c r="B624" s="475"/>
      <c r="C624" s="905"/>
      <c r="D624" s="905"/>
      <c r="E624" s="905"/>
      <c r="F624" s="841"/>
      <c r="G624" s="841"/>
      <c r="H624" s="840">
        <f t="shared" si="18"/>
        <v>0</v>
      </c>
      <c r="I624" s="840">
        <f t="shared" si="19"/>
        <v>0</v>
      </c>
    </row>
    <row r="625" spans="1:9" s="302" customFormat="1" hidden="1">
      <c r="A625" s="1158"/>
      <c r="B625" s="475"/>
      <c r="C625" s="916"/>
      <c r="D625" s="916"/>
      <c r="E625" s="905"/>
      <c r="F625" s="841"/>
      <c r="G625" s="841"/>
      <c r="H625" s="840">
        <f t="shared" si="18"/>
        <v>0</v>
      </c>
      <c r="I625" s="840">
        <f t="shared" si="19"/>
        <v>0</v>
      </c>
    </row>
    <row r="626" spans="1:9" s="302" customFormat="1" hidden="1">
      <c r="A626" s="1158"/>
      <c r="B626" s="475"/>
      <c r="C626" s="916"/>
      <c r="D626" s="916"/>
      <c r="E626" s="905"/>
      <c r="F626" s="841"/>
      <c r="G626" s="841"/>
      <c r="H626" s="840">
        <f t="shared" si="18"/>
        <v>0</v>
      </c>
      <c r="I626" s="840">
        <f t="shared" si="19"/>
        <v>0</v>
      </c>
    </row>
    <row r="627" spans="1:9" s="302" customFormat="1" hidden="1">
      <c r="A627" s="1158"/>
      <c r="B627" s="475"/>
      <c r="C627" s="916"/>
      <c r="D627" s="916"/>
      <c r="E627" s="905"/>
      <c r="F627" s="841"/>
      <c r="G627" s="841"/>
      <c r="H627" s="840">
        <f t="shared" si="18"/>
        <v>0</v>
      </c>
      <c r="I627" s="840">
        <f t="shared" si="19"/>
        <v>0</v>
      </c>
    </row>
    <row r="628" spans="1:9" s="302" customFormat="1" hidden="1">
      <c r="A628" s="1158"/>
      <c r="B628" s="475"/>
      <c r="C628" s="916"/>
      <c r="D628" s="916"/>
      <c r="E628" s="905"/>
      <c r="F628" s="841"/>
      <c r="G628" s="841"/>
      <c r="H628" s="840">
        <f t="shared" si="18"/>
        <v>0</v>
      </c>
      <c r="I628" s="840">
        <f t="shared" si="19"/>
        <v>0</v>
      </c>
    </row>
    <row r="629" spans="1:9" s="302" customFormat="1" hidden="1">
      <c r="A629" s="1158"/>
      <c r="B629" s="475"/>
      <c r="C629" s="916"/>
      <c r="D629" s="916"/>
      <c r="E629" s="905"/>
      <c r="F629" s="841"/>
      <c r="G629" s="841"/>
      <c r="H629" s="840">
        <f t="shared" si="18"/>
        <v>0</v>
      </c>
      <c r="I629" s="840">
        <f t="shared" si="19"/>
        <v>0</v>
      </c>
    </row>
    <row r="630" spans="1:9" s="302" customFormat="1" hidden="1">
      <c r="A630" s="1158"/>
      <c r="B630" s="475"/>
      <c r="C630" s="916"/>
      <c r="D630" s="916"/>
      <c r="E630" s="905"/>
      <c r="F630" s="841"/>
      <c r="G630" s="841"/>
      <c r="H630" s="840">
        <f t="shared" si="18"/>
        <v>0</v>
      </c>
      <c r="I630" s="840">
        <f t="shared" si="19"/>
        <v>0</v>
      </c>
    </row>
    <row r="631" spans="1:9" s="302" customFormat="1" hidden="1">
      <c r="A631" s="1158"/>
      <c r="B631" s="475"/>
      <c r="C631" s="916"/>
      <c r="D631" s="916"/>
      <c r="E631" s="905"/>
      <c r="F631" s="841"/>
      <c r="G631" s="841"/>
      <c r="H631" s="840">
        <f t="shared" si="18"/>
        <v>0</v>
      </c>
      <c r="I631" s="840">
        <f t="shared" si="19"/>
        <v>0</v>
      </c>
    </row>
    <row r="632" spans="1:9" s="302" customFormat="1" hidden="1">
      <c r="A632" s="1158"/>
      <c r="B632" s="475"/>
      <c r="C632" s="916"/>
      <c r="D632" s="916"/>
      <c r="E632" s="905"/>
      <c r="F632" s="841"/>
      <c r="G632" s="841"/>
      <c r="H632" s="840">
        <f t="shared" si="18"/>
        <v>0</v>
      </c>
      <c r="I632" s="840">
        <f t="shared" si="19"/>
        <v>0</v>
      </c>
    </row>
    <row r="633" spans="1:9" s="302" customFormat="1" hidden="1">
      <c r="A633" s="1158"/>
      <c r="B633" s="475"/>
      <c r="C633" s="916"/>
      <c r="D633" s="916"/>
      <c r="E633" s="905"/>
      <c r="F633" s="841"/>
      <c r="G633" s="841"/>
      <c r="H633" s="840">
        <f t="shared" si="18"/>
        <v>0</v>
      </c>
      <c r="I633" s="840">
        <f t="shared" si="19"/>
        <v>0</v>
      </c>
    </row>
    <row r="634" spans="1:9" s="302" customFormat="1" hidden="1">
      <c r="A634" s="1158"/>
      <c r="B634" s="475"/>
      <c r="C634" s="916"/>
      <c r="D634" s="916"/>
      <c r="E634" s="905"/>
      <c r="F634" s="841"/>
      <c r="G634" s="841"/>
      <c r="H634" s="840">
        <f t="shared" si="18"/>
        <v>0</v>
      </c>
      <c r="I634" s="840">
        <f t="shared" si="19"/>
        <v>0</v>
      </c>
    </row>
    <row r="635" spans="1:9" s="302" customFormat="1" hidden="1">
      <c r="A635" s="1158"/>
      <c r="B635" s="475"/>
      <c r="C635" s="916"/>
      <c r="D635" s="916"/>
      <c r="E635" s="905"/>
      <c r="F635" s="841"/>
      <c r="G635" s="841"/>
      <c r="H635" s="840">
        <f t="shared" si="18"/>
        <v>0</v>
      </c>
      <c r="I635" s="840">
        <f t="shared" si="19"/>
        <v>0</v>
      </c>
    </row>
    <row r="636" spans="1:9" s="302" customFormat="1" hidden="1">
      <c r="A636" s="1158"/>
      <c r="B636" s="475"/>
      <c r="C636" s="916"/>
      <c r="D636" s="916"/>
      <c r="E636" s="905"/>
      <c r="F636" s="841"/>
      <c r="G636" s="841"/>
      <c r="H636" s="840">
        <f t="shared" si="18"/>
        <v>0</v>
      </c>
      <c r="I636" s="840">
        <f t="shared" si="19"/>
        <v>0</v>
      </c>
    </row>
    <row r="637" spans="1:9" s="302" customFormat="1" hidden="1">
      <c r="A637" s="1158"/>
      <c r="B637" s="475"/>
      <c r="C637" s="916"/>
      <c r="D637" s="916"/>
      <c r="E637" s="905"/>
      <c r="F637" s="841"/>
      <c r="G637" s="841"/>
      <c r="H637" s="840">
        <f t="shared" si="18"/>
        <v>0</v>
      </c>
      <c r="I637" s="840">
        <f t="shared" si="19"/>
        <v>0</v>
      </c>
    </row>
    <row r="638" spans="1:9" s="302" customFormat="1" hidden="1">
      <c r="A638" s="1158"/>
      <c r="B638" s="475"/>
      <c r="C638" s="916"/>
      <c r="D638" s="916"/>
      <c r="E638" s="905"/>
      <c r="F638" s="841"/>
      <c r="G638" s="841"/>
      <c r="H638" s="840">
        <f t="shared" si="18"/>
        <v>0</v>
      </c>
      <c r="I638" s="840">
        <f t="shared" si="19"/>
        <v>0</v>
      </c>
    </row>
    <row r="639" spans="1:9" s="302" customFormat="1" hidden="1">
      <c r="A639" s="1158"/>
      <c r="B639" s="475"/>
      <c r="C639" s="916"/>
      <c r="D639" s="916"/>
      <c r="E639" s="905"/>
      <c r="F639" s="841"/>
      <c r="G639" s="841"/>
      <c r="H639" s="840">
        <f t="shared" si="18"/>
        <v>0</v>
      </c>
      <c r="I639" s="840">
        <f t="shared" si="19"/>
        <v>0</v>
      </c>
    </row>
    <row r="640" spans="1:9" s="302" customFormat="1" hidden="1">
      <c r="A640" s="1158"/>
      <c r="B640" s="475"/>
      <c r="C640" s="916"/>
      <c r="D640" s="916"/>
      <c r="E640" s="905"/>
      <c r="F640" s="841"/>
      <c r="G640" s="841"/>
      <c r="H640" s="840">
        <f t="shared" si="18"/>
        <v>0</v>
      </c>
      <c r="I640" s="840">
        <f t="shared" si="19"/>
        <v>0</v>
      </c>
    </row>
    <row r="641" spans="1:9" s="302" customFormat="1" hidden="1">
      <c r="A641" s="1158"/>
      <c r="B641" s="475"/>
      <c r="C641" s="916"/>
      <c r="D641" s="916"/>
      <c r="E641" s="905"/>
      <c r="F641" s="841"/>
      <c r="G641" s="841"/>
      <c r="H641" s="840">
        <f t="shared" si="18"/>
        <v>0</v>
      </c>
      <c r="I641" s="840">
        <f t="shared" si="19"/>
        <v>0</v>
      </c>
    </row>
    <row r="642" spans="1:9" s="302" customFormat="1" hidden="1">
      <c r="A642" s="1158"/>
      <c r="B642" s="475"/>
      <c r="C642" s="916"/>
      <c r="D642" s="916"/>
      <c r="E642" s="905"/>
      <c r="F642" s="841"/>
      <c r="G642" s="841"/>
      <c r="H642" s="840">
        <f t="shared" si="18"/>
        <v>0</v>
      </c>
      <c r="I642" s="840">
        <f t="shared" si="19"/>
        <v>0</v>
      </c>
    </row>
    <row r="643" spans="1:9" s="302" customFormat="1" hidden="1">
      <c r="A643" s="1158"/>
      <c r="B643" s="475"/>
      <c r="C643" s="916"/>
      <c r="D643" s="916"/>
      <c r="E643" s="905"/>
      <c r="F643" s="841"/>
      <c r="G643" s="841"/>
      <c r="H643" s="840">
        <f t="shared" si="18"/>
        <v>0</v>
      </c>
      <c r="I643" s="840">
        <f t="shared" si="19"/>
        <v>0</v>
      </c>
    </row>
    <row r="644" spans="1:9" s="302" customFormat="1" hidden="1">
      <c r="A644" s="1158"/>
      <c r="B644" s="475"/>
      <c r="C644" s="916"/>
      <c r="D644" s="916"/>
      <c r="E644" s="905"/>
      <c r="F644" s="841"/>
      <c r="G644" s="841"/>
      <c r="H644" s="840">
        <f t="shared" si="18"/>
        <v>0</v>
      </c>
      <c r="I644" s="840">
        <f t="shared" si="19"/>
        <v>0</v>
      </c>
    </row>
    <row r="645" spans="1:9" s="302" customFormat="1" hidden="1">
      <c r="A645" s="1158"/>
      <c r="B645" s="475"/>
      <c r="C645" s="916"/>
      <c r="D645" s="916"/>
      <c r="E645" s="905"/>
      <c r="F645" s="841"/>
      <c r="G645" s="841"/>
      <c r="H645" s="840">
        <f t="shared" si="18"/>
        <v>0</v>
      </c>
      <c r="I645" s="840">
        <f t="shared" si="19"/>
        <v>0</v>
      </c>
    </row>
    <row r="646" spans="1:9" s="302" customFormat="1" hidden="1">
      <c r="A646" s="1158"/>
      <c r="B646" s="475"/>
      <c r="C646" s="916"/>
      <c r="D646" s="916"/>
      <c r="E646" s="905"/>
      <c r="F646" s="841"/>
      <c r="G646" s="841"/>
      <c r="H646" s="840">
        <f t="shared" si="18"/>
        <v>0</v>
      </c>
      <c r="I646" s="840">
        <f t="shared" si="19"/>
        <v>0</v>
      </c>
    </row>
    <row r="647" spans="1:9" s="302" customFormat="1" hidden="1">
      <c r="A647" s="1158"/>
      <c r="B647" s="475"/>
      <c r="C647" s="916"/>
      <c r="D647" s="916"/>
      <c r="E647" s="905"/>
      <c r="F647" s="841"/>
      <c r="G647" s="841"/>
      <c r="H647" s="840">
        <f t="shared" si="18"/>
        <v>0</v>
      </c>
      <c r="I647" s="840">
        <f t="shared" si="19"/>
        <v>0</v>
      </c>
    </row>
    <row r="648" spans="1:9" s="302" customFormat="1" hidden="1">
      <c r="A648" s="1158"/>
      <c r="B648" s="475"/>
      <c r="C648" s="916"/>
      <c r="D648" s="916"/>
      <c r="E648" s="905"/>
      <c r="F648" s="841"/>
      <c r="G648" s="841"/>
      <c r="H648" s="840">
        <f t="shared" si="18"/>
        <v>0</v>
      </c>
      <c r="I648" s="840">
        <f t="shared" si="19"/>
        <v>0</v>
      </c>
    </row>
    <row r="649" spans="1:9" s="302" customFormat="1" hidden="1">
      <c r="A649" s="1158"/>
      <c r="B649" s="475"/>
      <c r="C649" s="916"/>
      <c r="D649" s="916"/>
      <c r="E649" s="905"/>
      <c r="F649" s="841"/>
      <c r="G649" s="841"/>
      <c r="H649" s="840">
        <f t="shared" ref="H649:H712" si="20">E649+D649-C649</f>
        <v>0</v>
      </c>
      <c r="I649" s="840">
        <f t="shared" ref="I649:I712" si="21">SUM(C649:E649)</f>
        <v>0</v>
      </c>
    </row>
    <row r="650" spans="1:9" s="302" customFormat="1" hidden="1">
      <c r="A650" s="1158"/>
      <c r="B650" s="475"/>
      <c r="C650" s="916"/>
      <c r="D650" s="916"/>
      <c r="E650" s="905"/>
      <c r="F650" s="841"/>
      <c r="G650" s="841"/>
      <c r="H650" s="840">
        <f t="shared" si="20"/>
        <v>0</v>
      </c>
      <c r="I650" s="840">
        <f t="shared" si="21"/>
        <v>0</v>
      </c>
    </row>
    <row r="651" spans="1:9" s="302" customFormat="1" hidden="1">
      <c r="A651" s="1158"/>
      <c r="B651" s="475"/>
      <c r="C651" s="916"/>
      <c r="D651" s="916"/>
      <c r="E651" s="905"/>
      <c r="F651" s="841"/>
      <c r="G651" s="841"/>
      <c r="H651" s="840">
        <f t="shared" si="20"/>
        <v>0</v>
      </c>
      <c r="I651" s="840">
        <f t="shared" si="21"/>
        <v>0</v>
      </c>
    </row>
    <row r="652" spans="1:9" s="302" customFormat="1" hidden="1">
      <c r="A652" s="1158"/>
      <c r="B652" s="475"/>
      <c r="C652" s="916"/>
      <c r="D652" s="916"/>
      <c r="E652" s="905"/>
      <c r="F652" s="841"/>
      <c r="G652" s="841"/>
      <c r="H652" s="840">
        <f t="shared" si="20"/>
        <v>0</v>
      </c>
      <c r="I652" s="840">
        <f t="shared" si="21"/>
        <v>0</v>
      </c>
    </row>
    <row r="653" spans="1:9" s="302" customFormat="1" hidden="1">
      <c r="A653" s="1158"/>
      <c r="B653" s="475"/>
      <c r="C653" s="916"/>
      <c r="D653" s="916"/>
      <c r="E653" s="905"/>
      <c r="F653" s="841"/>
      <c r="G653" s="841"/>
      <c r="H653" s="840">
        <f t="shared" si="20"/>
        <v>0</v>
      </c>
      <c r="I653" s="840">
        <f t="shared" si="21"/>
        <v>0</v>
      </c>
    </row>
    <row r="654" spans="1:9" s="302" customFormat="1" hidden="1">
      <c r="A654" s="1158"/>
      <c r="B654" s="475"/>
      <c r="C654" s="916"/>
      <c r="D654" s="916"/>
      <c r="E654" s="905"/>
      <c r="F654" s="841"/>
      <c r="G654" s="841"/>
      <c r="H654" s="840">
        <f t="shared" si="20"/>
        <v>0</v>
      </c>
      <c r="I654" s="840">
        <f t="shared" si="21"/>
        <v>0</v>
      </c>
    </row>
    <row r="655" spans="1:9" s="302" customFormat="1" hidden="1">
      <c r="A655" s="1158"/>
      <c r="B655" s="475"/>
      <c r="C655" s="916"/>
      <c r="D655" s="916"/>
      <c r="E655" s="905"/>
      <c r="F655" s="841"/>
      <c r="G655" s="841"/>
      <c r="H655" s="840">
        <f t="shared" si="20"/>
        <v>0</v>
      </c>
      <c r="I655" s="840">
        <f t="shared" si="21"/>
        <v>0</v>
      </c>
    </row>
    <row r="656" spans="1:9" s="302" customFormat="1" hidden="1">
      <c r="A656" s="1158"/>
      <c r="B656" s="475"/>
      <c r="C656" s="916"/>
      <c r="D656" s="916"/>
      <c r="E656" s="905"/>
      <c r="F656" s="841"/>
      <c r="G656" s="841"/>
      <c r="H656" s="840">
        <f t="shared" si="20"/>
        <v>0</v>
      </c>
      <c r="I656" s="840">
        <f t="shared" si="21"/>
        <v>0</v>
      </c>
    </row>
    <row r="657" spans="1:9" s="302" customFormat="1" hidden="1">
      <c r="A657" s="1158"/>
      <c r="B657" s="475"/>
      <c r="C657" s="916"/>
      <c r="D657" s="916"/>
      <c r="E657" s="905"/>
      <c r="F657" s="841"/>
      <c r="G657" s="841"/>
      <c r="H657" s="840">
        <f t="shared" si="20"/>
        <v>0</v>
      </c>
      <c r="I657" s="840">
        <f t="shared" si="21"/>
        <v>0</v>
      </c>
    </row>
    <row r="658" spans="1:9" s="302" customFormat="1" hidden="1">
      <c r="A658" s="1158"/>
      <c r="B658" s="475"/>
      <c r="C658" s="912"/>
      <c r="D658" s="905"/>
      <c r="E658" s="905"/>
      <c r="F658" s="841"/>
      <c r="G658" s="841"/>
      <c r="H658" s="840">
        <f t="shared" si="20"/>
        <v>0</v>
      </c>
      <c r="I658" s="840">
        <f t="shared" si="21"/>
        <v>0</v>
      </c>
    </row>
    <row r="659" spans="1:9" s="302" customFormat="1" hidden="1">
      <c r="A659" s="1158"/>
      <c r="B659" s="475"/>
      <c r="C659" s="912"/>
      <c r="D659" s="905"/>
      <c r="E659" s="905"/>
      <c r="F659" s="841"/>
      <c r="G659" s="841"/>
      <c r="H659" s="840">
        <f t="shared" si="20"/>
        <v>0</v>
      </c>
      <c r="I659" s="840">
        <f t="shared" si="21"/>
        <v>0</v>
      </c>
    </row>
    <row r="660" spans="1:9" s="302" customFormat="1" hidden="1">
      <c r="A660" s="1158"/>
      <c r="B660" s="475"/>
      <c r="C660" s="912"/>
      <c r="D660" s="905"/>
      <c r="E660" s="905"/>
      <c r="F660" s="841"/>
      <c r="G660" s="841"/>
      <c r="H660" s="840">
        <f t="shared" si="20"/>
        <v>0</v>
      </c>
      <c r="I660" s="840">
        <f t="shared" si="21"/>
        <v>0</v>
      </c>
    </row>
    <row r="661" spans="1:9" s="302" customFormat="1" hidden="1">
      <c r="A661" s="1158"/>
      <c r="B661" s="475"/>
      <c r="C661" s="916"/>
      <c r="D661" s="916"/>
      <c r="E661" s="905"/>
      <c r="F661" s="841"/>
      <c r="G661" s="841"/>
      <c r="H661" s="840">
        <f t="shared" si="20"/>
        <v>0</v>
      </c>
      <c r="I661" s="840">
        <f t="shared" si="21"/>
        <v>0</v>
      </c>
    </row>
    <row r="662" spans="1:9" s="302" customFormat="1" hidden="1">
      <c r="A662" s="1158"/>
      <c r="B662" s="475"/>
      <c r="C662" s="916"/>
      <c r="D662" s="916"/>
      <c r="E662" s="905"/>
      <c r="F662" s="841"/>
      <c r="G662" s="841"/>
      <c r="H662" s="840">
        <f t="shared" si="20"/>
        <v>0</v>
      </c>
      <c r="I662" s="840">
        <f t="shared" si="21"/>
        <v>0</v>
      </c>
    </row>
    <row r="663" spans="1:9" s="302" customFormat="1" hidden="1">
      <c r="A663" s="1158"/>
      <c r="B663" s="475"/>
      <c r="C663" s="916"/>
      <c r="D663" s="916"/>
      <c r="E663" s="905"/>
      <c r="F663" s="841"/>
      <c r="G663" s="841"/>
      <c r="H663" s="840">
        <f t="shared" si="20"/>
        <v>0</v>
      </c>
      <c r="I663" s="840">
        <f t="shared" si="21"/>
        <v>0</v>
      </c>
    </row>
    <row r="664" spans="1:9" s="302" customFormat="1" hidden="1">
      <c r="A664" s="1158"/>
      <c r="B664" s="475"/>
      <c r="C664" s="916"/>
      <c r="D664" s="916"/>
      <c r="E664" s="905"/>
      <c r="F664" s="841"/>
      <c r="G664" s="841"/>
      <c r="H664" s="840">
        <f t="shared" si="20"/>
        <v>0</v>
      </c>
      <c r="I664" s="840">
        <f t="shared" si="21"/>
        <v>0</v>
      </c>
    </row>
    <row r="665" spans="1:9" s="302" customFormat="1" hidden="1">
      <c r="A665" s="1159"/>
      <c r="B665" s="894"/>
      <c r="C665" s="922"/>
      <c r="D665" s="922"/>
      <c r="E665" s="926"/>
      <c r="F665" s="841"/>
      <c r="G665" s="841"/>
      <c r="H665" s="840">
        <f t="shared" si="20"/>
        <v>0</v>
      </c>
      <c r="I665" s="840">
        <f t="shared" si="21"/>
        <v>0</v>
      </c>
    </row>
    <row r="666" spans="1:9" s="302" customFormat="1" hidden="1">
      <c r="A666" s="1159"/>
      <c r="B666" s="475"/>
      <c r="C666" s="916"/>
      <c r="D666" s="916"/>
      <c r="E666" s="905"/>
      <c r="F666" s="841"/>
      <c r="G666" s="841"/>
      <c r="H666" s="840">
        <f t="shared" si="20"/>
        <v>0</v>
      </c>
      <c r="I666" s="840">
        <f t="shared" si="21"/>
        <v>0</v>
      </c>
    </row>
    <row r="667" spans="1:9" s="302" customFormat="1" hidden="1">
      <c r="A667" s="1159"/>
      <c r="B667" s="475"/>
      <c r="C667" s="916"/>
      <c r="D667" s="916"/>
      <c r="E667" s="905"/>
      <c r="F667" s="841"/>
      <c r="G667" s="841"/>
      <c r="H667" s="840">
        <f t="shared" si="20"/>
        <v>0</v>
      </c>
      <c r="I667" s="840">
        <f t="shared" si="21"/>
        <v>0</v>
      </c>
    </row>
    <row r="668" spans="1:9" s="302" customFormat="1" hidden="1">
      <c r="A668" s="1159"/>
      <c r="B668" s="475"/>
      <c r="C668" s="916"/>
      <c r="D668" s="916"/>
      <c r="E668" s="905"/>
      <c r="F668" s="841"/>
      <c r="G668" s="841"/>
      <c r="H668" s="840">
        <f t="shared" si="20"/>
        <v>0</v>
      </c>
      <c r="I668" s="840">
        <f t="shared" si="21"/>
        <v>0</v>
      </c>
    </row>
    <row r="669" spans="1:9" s="302" customFormat="1" hidden="1">
      <c r="A669" s="1159"/>
      <c r="B669" s="475"/>
      <c r="C669" s="916"/>
      <c r="D669" s="916"/>
      <c r="E669" s="905"/>
      <c r="F669" s="841"/>
      <c r="G669" s="841"/>
      <c r="H669" s="840">
        <f t="shared" si="20"/>
        <v>0</v>
      </c>
      <c r="I669" s="840">
        <f t="shared" si="21"/>
        <v>0</v>
      </c>
    </row>
    <row r="670" spans="1:9" s="302" customFormat="1" hidden="1">
      <c r="A670" s="1159"/>
      <c r="B670" s="475"/>
      <c r="C670" s="916"/>
      <c r="D670" s="916"/>
      <c r="E670" s="905"/>
      <c r="F670" s="841"/>
      <c r="G670" s="841"/>
      <c r="H670" s="840">
        <f t="shared" si="20"/>
        <v>0</v>
      </c>
      <c r="I670" s="840">
        <f t="shared" si="21"/>
        <v>0</v>
      </c>
    </row>
    <row r="671" spans="1:9" s="302" customFormat="1" hidden="1">
      <c r="A671" s="1159"/>
      <c r="B671" s="475"/>
      <c r="C671" s="916"/>
      <c r="D671" s="916"/>
      <c r="E671" s="905"/>
      <c r="F671" s="841"/>
      <c r="G671" s="841"/>
      <c r="H671" s="840">
        <f t="shared" si="20"/>
        <v>0</v>
      </c>
      <c r="I671" s="840">
        <f t="shared" si="21"/>
        <v>0</v>
      </c>
    </row>
    <row r="672" spans="1:9" s="302" customFormat="1" ht="18" hidden="1" customHeight="1">
      <c r="A672" s="1159"/>
      <c r="B672" s="887"/>
      <c r="C672" s="916"/>
      <c r="D672" s="916"/>
      <c r="E672" s="907"/>
      <c r="F672" s="841"/>
      <c r="G672" s="841"/>
      <c r="H672" s="840">
        <f t="shared" si="20"/>
        <v>0</v>
      </c>
      <c r="I672" s="840">
        <f t="shared" si="21"/>
        <v>0</v>
      </c>
    </row>
    <row r="673" spans="1:9" s="302" customFormat="1" ht="18" hidden="1" customHeight="1">
      <c r="A673" s="1159"/>
      <c r="B673" s="475"/>
      <c r="C673" s="905"/>
      <c r="D673" s="916"/>
      <c r="E673" s="904"/>
      <c r="F673" s="841"/>
      <c r="G673" s="841"/>
      <c r="H673" s="840">
        <f t="shared" si="20"/>
        <v>0</v>
      </c>
      <c r="I673" s="840">
        <f t="shared" si="21"/>
        <v>0</v>
      </c>
    </row>
    <row r="674" spans="1:9" s="302" customFormat="1" ht="18" hidden="1" customHeight="1">
      <c r="A674" s="1159"/>
      <c r="B674" s="864"/>
      <c r="C674" s="918"/>
      <c r="D674" s="917"/>
      <c r="E674" s="927"/>
      <c r="F674" s="841"/>
      <c r="G674" s="841"/>
      <c r="H674" s="840">
        <f t="shared" si="20"/>
        <v>0</v>
      </c>
      <c r="I674" s="840">
        <f t="shared" si="21"/>
        <v>0</v>
      </c>
    </row>
    <row r="675" spans="1:9">
      <c r="A675" s="1156"/>
      <c r="B675" s="461" t="s">
        <v>253</v>
      </c>
      <c r="C675" s="919">
        <f>SUM(C616:C674)</f>
        <v>402500</v>
      </c>
      <c r="D675" s="919">
        <f>SUM(D616:D674)</f>
        <v>50500</v>
      </c>
      <c r="E675" s="919">
        <f>SUM(E616:E674)</f>
        <v>352000</v>
      </c>
      <c r="F675" s="850">
        <f>SUM(F616:F617)</f>
        <v>0</v>
      </c>
      <c r="G675" s="851">
        <f>SUM(G616:G617)</f>
        <v>0</v>
      </c>
      <c r="H675" s="840">
        <f t="shared" si="20"/>
        <v>0</v>
      </c>
      <c r="I675" s="840">
        <f t="shared" si="21"/>
        <v>805000</v>
      </c>
    </row>
    <row r="676" spans="1:9" ht="75">
      <c r="A676" s="1081" t="s">
        <v>330</v>
      </c>
      <c r="B676" s="887" t="s">
        <v>952</v>
      </c>
      <c r="C676" s="530">
        <v>35900</v>
      </c>
      <c r="D676" s="530">
        <v>35900</v>
      </c>
      <c r="E676" s="905"/>
      <c r="F676" s="854"/>
      <c r="G676" s="854"/>
      <c r="H676" s="840">
        <f t="shared" si="20"/>
        <v>0</v>
      </c>
      <c r="I676" s="840">
        <f t="shared" si="21"/>
        <v>71800</v>
      </c>
    </row>
    <row r="677" spans="1:9" ht="56.25">
      <c r="A677" s="1081"/>
      <c r="B677" s="475" t="s">
        <v>950</v>
      </c>
      <c r="C677" s="530">
        <v>180000</v>
      </c>
      <c r="D677" s="530"/>
      <c r="E677" s="530">
        <v>180000</v>
      </c>
      <c r="F677" s="841"/>
      <c r="G677" s="841"/>
      <c r="H677" s="840">
        <f t="shared" si="20"/>
        <v>0</v>
      </c>
      <c r="I677" s="840">
        <f t="shared" si="21"/>
        <v>360000</v>
      </c>
    </row>
    <row r="678" spans="1:9" ht="56.25">
      <c r="A678" s="1081"/>
      <c r="B678" s="475" t="s">
        <v>1124</v>
      </c>
      <c r="C678" s="905">
        <v>200000</v>
      </c>
      <c r="D678" s="905">
        <v>200000</v>
      </c>
      <c r="E678" s="905"/>
      <c r="F678" s="841"/>
      <c r="G678" s="841"/>
      <c r="H678" s="840">
        <f t="shared" si="20"/>
        <v>0</v>
      </c>
      <c r="I678" s="840">
        <f t="shared" si="21"/>
        <v>400000</v>
      </c>
    </row>
    <row r="679" spans="1:9" ht="56.25">
      <c r="A679" s="1081"/>
      <c r="B679" s="475" t="s">
        <v>1235</v>
      </c>
      <c r="C679" s="530">
        <v>20000</v>
      </c>
      <c r="D679" s="530">
        <v>20000</v>
      </c>
      <c r="E679" s="905"/>
      <c r="F679" s="841"/>
      <c r="G679" s="841"/>
      <c r="H679" s="840">
        <f t="shared" si="20"/>
        <v>0</v>
      </c>
      <c r="I679" s="840">
        <f t="shared" si="21"/>
        <v>40000</v>
      </c>
    </row>
    <row r="680" spans="1:9" s="302" customFormat="1" ht="37.5">
      <c r="A680" s="1071"/>
      <c r="B680" s="475" t="s">
        <v>1236</v>
      </c>
      <c r="C680" s="530">
        <v>13000</v>
      </c>
      <c r="D680" s="530"/>
      <c r="E680" s="905">
        <v>13000</v>
      </c>
      <c r="F680" s="841"/>
      <c r="G680" s="841"/>
      <c r="H680" s="840">
        <f t="shared" si="20"/>
        <v>0</v>
      </c>
      <c r="I680" s="840">
        <f t="shared" si="21"/>
        <v>26000</v>
      </c>
    </row>
    <row r="681" spans="1:9" ht="37.5">
      <c r="A681" s="1081"/>
      <c r="B681" s="475" t="s">
        <v>1237</v>
      </c>
      <c r="C681" s="530">
        <v>12000</v>
      </c>
      <c r="D681" s="530"/>
      <c r="E681" s="905">
        <v>12000</v>
      </c>
      <c r="F681" s="857"/>
      <c r="G681" s="857"/>
      <c r="H681" s="840">
        <f t="shared" si="20"/>
        <v>0</v>
      </c>
      <c r="I681" s="840">
        <f t="shared" si="21"/>
        <v>24000</v>
      </c>
    </row>
    <row r="682" spans="1:9" s="302" customFormat="1" ht="56.25">
      <c r="A682" s="1068"/>
      <c r="B682" s="475" t="s">
        <v>1238</v>
      </c>
      <c r="C682" s="530">
        <v>5000</v>
      </c>
      <c r="D682" s="530">
        <v>5000</v>
      </c>
      <c r="E682" s="905"/>
      <c r="F682" s="841"/>
      <c r="G682" s="841"/>
      <c r="H682" s="840">
        <f t="shared" si="20"/>
        <v>0</v>
      </c>
      <c r="I682" s="840">
        <f t="shared" si="21"/>
        <v>10000</v>
      </c>
    </row>
    <row r="683" spans="1:9" s="302" customFormat="1" ht="56.25">
      <c r="A683" s="1068"/>
      <c r="B683" s="475" t="s">
        <v>1239</v>
      </c>
      <c r="C683" s="530">
        <v>10000</v>
      </c>
      <c r="D683" s="530">
        <v>10000</v>
      </c>
      <c r="E683" s="905"/>
      <c r="F683" s="841"/>
      <c r="G683" s="841"/>
      <c r="H683" s="840">
        <f t="shared" si="20"/>
        <v>0</v>
      </c>
      <c r="I683" s="840">
        <f t="shared" si="21"/>
        <v>20000</v>
      </c>
    </row>
    <row r="684" spans="1:9" s="302" customFormat="1" ht="56.25">
      <c r="A684" s="1068"/>
      <c r="B684" s="475" t="s">
        <v>2505</v>
      </c>
      <c r="C684" s="530">
        <v>10000</v>
      </c>
      <c r="D684" s="530">
        <v>10000</v>
      </c>
      <c r="E684" s="905"/>
      <c r="F684" s="841"/>
      <c r="G684" s="841"/>
      <c r="H684" s="840">
        <f t="shared" si="20"/>
        <v>0</v>
      </c>
      <c r="I684" s="840">
        <f t="shared" si="21"/>
        <v>20000</v>
      </c>
    </row>
    <row r="685" spans="1:9" s="302" customFormat="1" ht="56.25">
      <c r="A685" s="1068"/>
      <c r="B685" s="475" t="s">
        <v>1240</v>
      </c>
      <c r="C685" s="530">
        <v>5000</v>
      </c>
      <c r="D685" s="530">
        <v>5000</v>
      </c>
      <c r="E685" s="905"/>
      <c r="F685" s="841"/>
      <c r="G685" s="841"/>
      <c r="H685" s="840">
        <f t="shared" si="20"/>
        <v>0</v>
      </c>
      <c r="I685" s="840">
        <f t="shared" si="21"/>
        <v>10000</v>
      </c>
    </row>
    <row r="686" spans="1:9" s="302" customFormat="1" ht="56.25">
      <c r="A686" s="1068"/>
      <c r="B686" s="475" t="s">
        <v>1772</v>
      </c>
      <c r="C686" s="905">
        <v>105068</v>
      </c>
      <c r="D686" s="905">
        <v>105068</v>
      </c>
      <c r="E686" s="905"/>
      <c r="F686" s="841"/>
      <c r="G686" s="841"/>
      <c r="H686" s="840">
        <f t="shared" si="20"/>
        <v>0</v>
      </c>
      <c r="I686" s="840">
        <f t="shared" si="21"/>
        <v>210136</v>
      </c>
    </row>
    <row r="687" spans="1:9" s="302" customFormat="1" ht="75">
      <c r="A687" s="1068"/>
      <c r="B687" s="475" t="s">
        <v>1773</v>
      </c>
      <c r="C687" s="908">
        <v>81210</v>
      </c>
      <c r="D687" s="908">
        <v>81210</v>
      </c>
      <c r="E687" s="905"/>
      <c r="F687" s="841"/>
      <c r="G687" s="841"/>
      <c r="H687" s="840">
        <f t="shared" si="20"/>
        <v>0</v>
      </c>
      <c r="I687" s="840">
        <f t="shared" si="21"/>
        <v>162420</v>
      </c>
    </row>
    <row r="688" spans="1:9" s="302" customFormat="1" ht="56.25">
      <c r="A688" s="1068"/>
      <c r="B688" s="475" t="s">
        <v>1888</v>
      </c>
      <c r="C688" s="912">
        <v>170000</v>
      </c>
      <c r="D688" s="911">
        <v>170000</v>
      </c>
      <c r="E688" s="911"/>
      <c r="F688" s="841"/>
      <c r="G688" s="841"/>
      <c r="H688" s="840">
        <f t="shared" si="20"/>
        <v>0</v>
      </c>
      <c r="I688" s="840">
        <f t="shared" si="21"/>
        <v>340000</v>
      </c>
    </row>
    <row r="689" spans="1:9" s="302" customFormat="1" ht="75">
      <c r="A689" s="1068"/>
      <c r="B689" s="475" t="s">
        <v>2010</v>
      </c>
      <c r="C689" s="914">
        <v>10000</v>
      </c>
      <c r="D689" s="905">
        <v>10000</v>
      </c>
      <c r="E689" s="905"/>
      <c r="F689" s="841"/>
      <c r="G689" s="841"/>
      <c r="H689" s="840">
        <f t="shared" si="20"/>
        <v>0</v>
      </c>
      <c r="I689" s="840">
        <f t="shared" si="21"/>
        <v>20000</v>
      </c>
    </row>
    <row r="690" spans="1:9" s="302" customFormat="1" ht="187.5">
      <c r="A690" s="1068"/>
      <c r="B690" s="475" t="s">
        <v>2011</v>
      </c>
      <c r="C690" s="905">
        <v>12993</v>
      </c>
      <c r="D690" s="905">
        <v>12993</v>
      </c>
      <c r="E690" s="905"/>
      <c r="F690" s="841"/>
      <c r="G690" s="841"/>
      <c r="H690" s="840">
        <f t="shared" si="20"/>
        <v>0</v>
      </c>
      <c r="I690" s="840">
        <f t="shared" si="21"/>
        <v>25986</v>
      </c>
    </row>
    <row r="691" spans="1:9" s="302" customFormat="1" ht="112.5">
      <c r="A691" s="1068"/>
      <c r="B691" s="535" t="s">
        <v>2012</v>
      </c>
      <c r="C691" s="908">
        <v>75000</v>
      </c>
      <c r="D691" s="908">
        <v>75000</v>
      </c>
      <c r="E691" s="905"/>
      <c r="F691" s="841"/>
      <c r="G691" s="841"/>
      <c r="H691" s="840">
        <f t="shared" si="20"/>
        <v>0</v>
      </c>
      <c r="I691" s="840">
        <f t="shared" si="21"/>
        <v>150000</v>
      </c>
    </row>
    <row r="692" spans="1:9" s="302" customFormat="1" ht="75" hidden="1">
      <c r="A692" s="1068"/>
      <c r="B692" s="889" t="s">
        <v>2431</v>
      </c>
      <c r="C692" s="928">
        <f>170400-170400</f>
        <v>0</v>
      </c>
      <c r="D692" s="928"/>
      <c r="E692" s="928">
        <f>170400-170400</f>
        <v>0</v>
      </c>
      <c r="F692" s="841"/>
      <c r="G692" s="841"/>
      <c r="H692" s="840">
        <f t="shared" si="20"/>
        <v>0</v>
      </c>
      <c r="I692" s="840">
        <f t="shared" si="21"/>
        <v>0</v>
      </c>
    </row>
    <row r="693" spans="1:9" s="302" customFormat="1" ht="56.25">
      <c r="A693" s="1068"/>
      <c r="B693" s="535" t="s">
        <v>2451</v>
      </c>
      <c r="C693" s="908">
        <v>5300</v>
      </c>
      <c r="D693" s="908">
        <v>5300</v>
      </c>
      <c r="E693" s="905"/>
      <c r="F693" s="841"/>
      <c r="G693" s="841"/>
      <c r="H693" s="840">
        <f t="shared" si="20"/>
        <v>0</v>
      </c>
      <c r="I693" s="840">
        <f t="shared" si="21"/>
        <v>10600</v>
      </c>
    </row>
    <row r="694" spans="1:9" s="302" customFormat="1" ht="56.25">
      <c r="A694" s="1068"/>
      <c r="B694" s="535" t="s">
        <v>2452</v>
      </c>
      <c r="C694" s="908">
        <v>6999</v>
      </c>
      <c r="D694" s="908"/>
      <c r="E694" s="905">
        <v>6999</v>
      </c>
      <c r="F694" s="841"/>
      <c r="G694" s="841"/>
      <c r="H694" s="840">
        <f t="shared" si="20"/>
        <v>0</v>
      </c>
      <c r="I694" s="840">
        <f t="shared" si="21"/>
        <v>13998</v>
      </c>
    </row>
    <row r="695" spans="1:9" s="480" customFormat="1" ht="75">
      <c r="A695" s="1077"/>
      <c r="B695" s="535" t="s">
        <v>2453</v>
      </c>
      <c r="C695" s="915">
        <v>132000</v>
      </c>
      <c r="D695" s="915"/>
      <c r="E695" s="914">
        <v>132000</v>
      </c>
      <c r="F695" s="841"/>
      <c r="G695" s="841"/>
      <c r="H695" s="840">
        <f t="shared" si="20"/>
        <v>0</v>
      </c>
      <c r="I695" s="840">
        <f t="shared" si="21"/>
        <v>264000</v>
      </c>
    </row>
    <row r="696" spans="1:9" s="480" customFormat="1" ht="93.75">
      <c r="A696" s="1077"/>
      <c r="B696" s="535" t="s">
        <v>3175</v>
      </c>
      <c r="C696" s="915">
        <v>63605</v>
      </c>
      <c r="D696" s="915"/>
      <c r="E696" s="914">
        <v>63605</v>
      </c>
      <c r="F696" s="841"/>
      <c r="G696" s="841"/>
      <c r="H696" s="840">
        <f t="shared" si="20"/>
        <v>0</v>
      </c>
      <c r="I696" s="840">
        <f t="shared" si="21"/>
        <v>127210</v>
      </c>
    </row>
    <row r="697" spans="1:9" s="302" customFormat="1" ht="37.5">
      <c r="A697" s="1068"/>
      <c r="B697" s="535" t="s">
        <v>2454</v>
      </c>
      <c r="C697" s="908">
        <v>5000</v>
      </c>
      <c r="D697" s="908">
        <v>5000</v>
      </c>
      <c r="E697" s="905"/>
      <c r="F697" s="841"/>
      <c r="G697" s="841"/>
      <c r="H697" s="840">
        <f t="shared" si="20"/>
        <v>0</v>
      </c>
      <c r="I697" s="840">
        <f t="shared" si="21"/>
        <v>10000</v>
      </c>
    </row>
    <row r="698" spans="1:9" s="302" customFormat="1" ht="93.75">
      <c r="A698" s="1068"/>
      <c r="B698" s="475" t="s">
        <v>2455</v>
      </c>
      <c r="C698" s="908">
        <v>35000</v>
      </c>
      <c r="D698" s="908">
        <v>35000</v>
      </c>
      <c r="E698" s="905"/>
      <c r="F698" s="841"/>
      <c r="G698" s="841"/>
      <c r="H698" s="840">
        <f t="shared" si="20"/>
        <v>0</v>
      </c>
      <c r="I698" s="840">
        <f t="shared" si="21"/>
        <v>70000</v>
      </c>
    </row>
    <row r="699" spans="1:9" s="302" customFormat="1" ht="75">
      <c r="A699" s="1068"/>
      <c r="B699" s="475" t="s">
        <v>2456</v>
      </c>
      <c r="C699" s="908">
        <v>10000</v>
      </c>
      <c r="D699" s="908">
        <v>10000</v>
      </c>
      <c r="E699" s="905"/>
      <c r="F699" s="841"/>
      <c r="G699" s="841"/>
      <c r="H699" s="840">
        <f t="shared" si="20"/>
        <v>0</v>
      </c>
      <c r="I699" s="840">
        <f t="shared" si="21"/>
        <v>20000</v>
      </c>
    </row>
    <row r="700" spans="1:9" s="302" customFormat="1" ht="75">
      <c r="A700" s="1068"/>
      <c r="B700" s="535" t="s">
        <v>2457</v>
      </c>
      <c r="C700" s="908">
        <v>25000</v>
      </c>
      <c r="D700" s="908">
        <v>25000</v>
      </c>
      <c r="E700" s="905"/>
      <c r="F700" s="841"/>
      <c r="G700" s="841"/>
      <c r="H700" s="840">
        <f t="shared" si="20"/>
        <v>0</v>
      </c>
      <c r="I700" s="840">
        <f t="shared" si="21"/>
        <v>50000</v>
      </c>
    </row>
    <row r="701" spans="1:9" s="302" customFormat="1" ht="56.25">
      <c r="A701" s="1071"/>
      <c r="B701" s="475" t="s">
        <v>2568</v>
      </c>
      <c r="C701" s="905">
        <v>200000</v>
      </c>
      <c r="D701" s="905"/>
      <c r="E701" s="905">
        <v>200000</v>
      </c>
      <c r="F701" s="841"/>
      <c r="G701" s="841"/>
      <c r="H701" s="840">
        <f t="shared" si="20"/>
        <v>0</v>
      </c>
      <c r="I701" s="840">
        <f t="shared" si="21"/>
        <v>400000</v>
      </c>
    </row>
    <row r="702" spans="1:9" s="302" customFormat="1" ht="56.25">
      <c r="A702" s="1071"/>
      <c r="B702" s="475" t="s">
        <v>3061</v>
      </c>
      <c r="C702" s="905">
        <f>D702+E702</f>
        <v>22500</v>
      </c>
      <c r="D702" s="905">
        <v>2500</v>
      </c>
      <c r="E702" s="905">
        <v>20000</v>
      </c>
      <c r="F702" s="841"/>
      <c r="G702" s="841"/>
      <c r="H702" s="840">
        <f t="shared" si="20"/>
        <v>0</v>
      </c>
      <c r="I702" s="840">
        <f t="shared" si="21"/>
        <v>45000</v>
      </c>
    </row>
    <row r="703" spans="1:9" s="302" customFormat="1" ht="112.5">
      <c r="A703" s="1071"/>
      <c r="B703" s="475" t="s">
        <v>3062</v>
      </c>
      <c r="C703" s="905">
        <f>D703+E703</f>
        <v>10000</v>
      </c>
      <c r="D703" s="908"/>
      <c r="E703" s="905">
        <v>10000</v>
      </c>
      <c r="F703" s="841"/>
      <c r="G703" s="841"/>
      <c r="H703" s="840">
        <f t="shared" si="20"/>
        <v>0</v>
      </c>
      <c r="I703" s="840">
        <f t="shared" si="21"/>
        <v>20000</v>
      </c>
    </row>
    <row r="704" spans="1:9" s="302" customFormat="1" ht="37.5">
      <c r="A704" s="1071"/>
      <c r="B704" s="475" t="s">
        <v>3063</v>
      </c>
      <c r="C704" s="905">
        <f>D704+E704</f>
        <v>12000</v>
      </c>
      <c r="D704" s="906">
        <v>12000</v>
      </c>
      <c r="E704" s="906"/>
      <c r="F704" s="841"/>
      <c r="G704" s="841"/>
      <c r="H704" s="840">
        <f t="shared" si="20"/>
        <v>0</v>
      </c>
      <c r="I704" s="840">
        <f t="shared" si="21"/>
        <v>24000</v>
      </c>
    </row>
    <row r="705" spans="1:9" s="302" customFormat="1" ht="37.5">
      <c r="A705" s="1071"/>
      <c r="B705" s="475" t="s">
        <v>3064</v>
      </c>
      <c r="C705" s="905">
        <f>D705+E705</f>
        <v>35500</v>
      </c>
      <c r="D705" s="905"/>
      <c r="E705" s="905">
        <v>35500</v>
      </c>
      <c r="F705" s="841"/>
      <c r="G705" s="841"/>
      <c r="H705" s="840">
        <f t="shared" si="20"/>
        <v>0</v>
      </c>
      <c r="I705" s="840">
        <f t="shared" si="21"/>
        <v>71000</v>
      </c>
    </row>
    <row r="706" spans="1:9" s="302" customFormat="1" ht="56.25">
      <c r="A706" s="1071"/>
      <c r="B706" s="535" t="s">
        <v>2724</v>
      </c>
      <c r="C706" s="914">
        <v>5000</v>
      </c>
      <c r="D706" s="914">
        <v>5000</v>
      </c>
      <c r="E706" s="914"/>
      <c r="F706" s="841"/>
      <c r="G706" s="841"/>
      <c r="H706" s="840">
        <f t="shared" si="20"/>
        <v>0</v>
      </c>
      <c r="I706" s="840">
        <f t="shared" si="21"/>
        <v>10000</v>
      </c>
    </row>
    <row r="707" spans="1:9" s="302" customFormat="1" ht="56.25">
      <c r="A707" s="1071"/>
      <c r="B707" s="475" t="s">
        <v>2725</v>
      </c>
      <c r="C707" s="915">
        <v>12000</v>
      </c>
      <c r="D707" s="915"/>
      <c r="E707" s="914">
        <v>12000</v>
      </c>
      <c r="F707" s="841"/>
      <c r="G707" s="841"/>
      <c r="H707" s="840">
        <f t="shared" si="20"/>
        <v>0</v>
      </c>
      <c r="I707" s="840">
        <f t="shared" si="21"/>
        <v>24000</v>
      </c>
    </row>
    <row r="708" spans="1:9" s="302" customFormat="1" ht="37.5">
      <c r="A708" s="1071"/>
      <c r="B708" s="475" t="s">
        <v>2726</v>
      </c>
      <c r="C708" s="915">
        <v>5000</v>
      </c>
      <c r="D708" s="915">
        <v>5000</v>
      </c>
      <c r="E708" s="914"/>
      <c r="F708" s="841"/>
      <c r="G708" s="841"/>
      <c r="H708" s="840">
        <f t="shared" si="20"/>
        <v>0</v>
      </c>
      <c r="I708" s="840">
        <f t="shared" si="21"/>
        <v>10000</v>
      </c>
    </row>
    <row r="709" spans="1:9" s="302" customFormat="1" ht="75">
      <c r="A709" s="1071"/>
      <c r="B709" s="475" t="s">
        <v>2727</v>
      </c>
      <c r="C709" s="915">
        <v>10000</v>
      </c>
      <c r="D709" s="915">
        <v>10000</v>
      </c>
      <c r="E709" s="914"/>
      <c r="F709" s="841"/>
      <c r="G709" s="841"/>
      <c r="H709" s="840">
        <f t="shared" si="20"/>
        <v>0</v>
      </c>
      <c r="I709" s="840">
        <f t="shared" si="21"/>
        <v>20000</v>
      </c>
    </row>
    <row r="710" spans="1:9" s="302" customFormat="1" ht="75">
      <c r="A710" s="1071"/>
      <c r="B710" s="475" t="s">
        <v>2728</v>
      </c>
      <c r="C710" s="915">
        <v>30000</v>
      </c>
      <c r="D710" s="915">
        <v>30000</v>
      </c>
      <c r="E710" s="914"/>
      <c r="F710" s="841"/>
      <c r="G710" s="841"/>
      <c r="H710" s="840">
        <f t="shared" si="20"/>
        <v>0</v>
      </c>
      <c r="I710" s="840">
        <f t="shared" si="21"/>
        <v>60000</v>
      </c>
    </row>
    <row r="711" spans="1:9" s="302" customFormat="1" ht="56.25">
      <c r="A711" s="1071"/>
      <c r="B711" s="475" t="s">
        <v>2729</v>
      </c>
      <c r="C711" s="908">
        <v>2800</v>
      </c>
      <c r="D711" s="908">
        <v>2800</v>
      </c>
      <c r="E711" s="908"/>
      <c r="F711" s="841"/>
      <c r="G711" s="841"/>
      <c r="H711" s="840">
        <f t="shared" si="20"/>
        <v>0</v>
      </c>
      <c r="I711" s="840">
        <f t="shared" si="21"/>
        <v>5600</v>
      </c>
    </row>
    <row r="712" spans="1:9" s="302" customFormat="1" ht="37.5">
      <c r="A712" s="1071"/>
      <c r="B712" s="535" t="s">
        <v>2730</v>
      </c>
      <c r="C712" s="914">
        <v>10000</v>
      </c>
      <c r="D712" s="914">
        <v>10000</v>
      </c>
      <c r="E712" s="914"/>
      <c r="F712" s="841"/>
      <c r="G712" s="841"/>
      <c r="H712" s="840">
        <f t="shared" si="20"/>
        <v>0</v>
      </c>
      <c r="I712" s="840">
        <f t="shared" si="21"/>
        <v>20000</v>
      </c>
    </row>
    <row r="713" spans="1:9" s="302" customFormat="1" ht="56.25">
      <c r="A713" s="1071"/>
      <c r="B713" s="475" t="s">
        <v>3138</v>
      </c>
      <c r="C713" s="905">
        <v>250000</v>
      </c>
      <c r="D713" s="905"/>
      <c r="E713" s="905">
        <v>250000</v>
      </c>
      <c r="F713" s="841"/>
      <c r="G713" s="841"/>
      <c r="H713" s="840">
        <f t="shared" ref="H713:H776" si="22">E713+D713-C713</f>
        <v>0</v>
      </c>
      <c r="I713" s="840">
        <f t="shared" ref="I713:I776" si="23">SUM(C713:E713)</f>
        <v>500000</v>
      </c>
    </row>
    <row r="714" spans="1:9" s="302" customFormat="1" ht="93.75">
      <c r="A714" s="1071"/>
      <c r="B714" s="475" t="s">
        <v>3140</v>
      </c>
      <c r="C714" s="912">
        <v>170400</v>
      </c>
      <c r="D714" s="908"/>
      <c r="E714" s="905">
        <v>170400</v>
      </c>
      <c r="F714" s="841"/>
      <c r="G714" s="841"/>
      <c r="H714" s="840">
        <f t="shared" si="22"/>
        <v>0</v>
      </c>
      <c r="I714" s="840">
        <f t="shared" si="23"/>
        <v>340800</v>
      </c>
    </row>
    <row r="715" spans="1:9" s="302" customFormat="1" hidden="1">
      <c r="A715" s="1071"/>
      <c r="B715" s="890"/>
      <c r="C715" s="912"/>
      <c r="D715" s="473"/>
      <c r="E715" s="914"/>
      <c r="F715" s="841"/>
      <c r="G715" s="841"/>
      <c r="H715" s="840">
        <f t="shared" si="22"/>
        <v>0</v>
      </c>
      <c r="I715" s="840">
        <f t="shared" si="23"/>
        <v>0</v>
      </c>
    </row>
    <row r="716" spans="1:9" s="302" customFormat="1" hidden="1">
      <c r="A716" s="1071"/>
      <c r="B716" s="890"/>
      <c r="C716" s="905"/>
      <c r="D716" s="473"/>
      <c r="E716" s="914"/>
      <c r="F716" s="841"/>
      <c r="G716" s="841"/>
      <c r="H716" s="840">
        <f t="shared" si="22"/>
        <v>0</v>
      </c>
      <c r="I716" s="840">
        <f t="shared" si="23"/>
        <v>0</v>
      </c>
    </row>
    <row r="717" spans="1:9" s="302" customFormat="1" hidden="1">
      <c r="A717" s="1071"/>
      <c r="B717" s="890"/>
      <c r="C717" s="905"/>
      <c r="D717" s="473"/>
      <c r="E717" s="914"/>
      <c r="F717" s="841"/>
      <c r="G717" s="841"/>
      <c r="H717" s="840">
        <f t="shared" si="22"/>
        <v>0</v>
      </c>
      <c r="I717" s="840">
        <f t="shared" si="23"/>
        <v>0</v>
      </c>
    </row>
    <row r="718" spans="1:9" s="302" customFormat="1" ht="18" hidden="1" customHeight="1">
      <c r="A718" s="1071"/>
      <c r="B718" s="887"/>
      <c r="C718" s="916"/>
      <c r="D718" s="916"/>
      <c r="E718" s="907"/>
      <c r="F718" s="841"/>
      <c r="G718" s="841"/>
      <c r="H718" s="840">
        <f t="shared" si="22"/>
        <v>0</v>
      </c>
      <c r="I718" s="840">
        <f t="shared" si="23"/>
        <v>0</v>
      </c>
    </row>
    <row r="719" spans="1:9" s="302" customFormat="1" ht="18" hidden="1" customHeight="1">
      <c r="A719" s="1071"/>
      <c r="B719" s="887"/>
      <c r="C719" s="916"/>
      <c r="D719" s="916"/>
      <c r="E719" s="907"/>
      <c r="F719" s="841"/>
      <c r="G719" s="841"/>
      <c r="H719" s="840">
        <f t="shared" si="22"/>
        <v>0</v>
      </c>
      <c r="I719" s="840">
        <f t="shared" si="23"/>
        <v>0</v>
      </c>
    </row>
    <row r="720" spans="1:9" s="302" customFormat="1" ht="18" hidden="1" customHeight="1">
      <c r="A720" s="1071"/>
      <c r="B720" s="887"/>
      <c r="C720" s="916"/>
      <c r="D720" s="916"/>
      <c r="E720" s="907"/>
      <c r="F720" s="841"/>
      <c r="G720" s="841"/>
      <c r="H720" s="840">
        <f t="shared" si="22"/>
        <v>0</v>
      </c>
      <c r="I720" s="840">
        <f t="shared" si="23"/>
        <v>0</v>
      </c>
    </row>
    <row r="721" spans="1:9" s="302" customFormat="1" ht="18" hidden="1" customHeight="1">
      <c r="A721" s="1071"/>
      <c r="B721" s="475"/>
      <c r="C721" s="905"/>
      <c r="D721" s="916"/>
      <c r="E721" s="905"/>
      <c r="F721" s="841"/>
      <c r="G721" s="841"/>
      <c r="H721" s="840">
        <f t="shared" si="22"/>
        <v>0</v>
      </c>
      <c r="I721" s="840">
        <f t="shared" si="23"/>
        <v>0</v>
      </c>
    </row>
    <row r="722" spans="1:9" s="302" customFormat="1" ht="18" hidden="1" customHeight="1">
      <c r="A722" s="1071"/>
      <c r="B722" s="475"/>
      <c r="C722" s="905"/>
      <c r="D722" s="916"/>
      <c r="E722" s="905"/>
      <c r="F722" s="841"/>
      <c r="G722" s="841"/>
      <c r="H722" s="840">
        <f t="shared" si="22"/>
        <v>0</v>
      </c>
      <c r="I722" s="840">
        <f t="shared" si="23"/>
        <v>0</v>
      </c>
    </row>
    <row r="723" spans="1:9" s="302" customFormat="1" ht="18" hidden="1" customHeight="1">
      <c r="A723" s="1071"/>
      <c r="B723" s="864"/>
      <c r="C723" s="918"/>
      <c r="D723" s="917"/>
      <c r="E723" s="918"/>
      <c r="F723" s="841"/>
      <c r="G723" s="841"/>
      <c r="H723" s="840">
        <f t="shared" si="22"/>
        <v>0</v>
      </c>
      <c r="I723" s="840">
        <f t="shared" si="23"/>
        <v>0</v>
      </c>
    </row>
    <row r="724" spans="1:9">
      <c r="A724" s="1081"/>
      <c r="B724" s="461" t="s">
        <v>253</v>
      </c>
      <c r="C724" s="919">
        <f>SUM(C676:C723)</f>
        <v>2003275</v>
      </c>
      <c r="D724" s="919">
        <f>SUM(D676:D723)</f>
        <v>897771</v>
      </c>
      <c r="E724" s="919">
        <f>SUM(E676:E723)</f>
        <v>1105504</v>
      </c>
      <c r="F724" s="850">
        <f>SUM(F676:F687)</f>
        <v>0</v>
      </c>
      <c r="G724" s="851">
        <f>SUM(G676:G687)</f>
        <v>0</v>
      </c>
      <c r="H724" s="840">
        <f t="shared" si="22"/>
        <v>0</v>
      </c>
      <c r="I724" s="840">
        <f t="shared" si="23"/>
        <v>4006550</v>
      </c>
    </row>
    <row r="725" spans="1:9" ht="75">
      <c r="A725" s="1081" t="s">
        <v>397</v>
      </c>
      <c r="B725" s="887" t="s">
        <v>952</v>
      </c>
      <c r="C725" s="530">
        <v>231400</v>
      </c>
      <c r="D725" s="530">
        <v>231400</v>
      </c>
      <c r="E725" s="530"/>
      <c r="F725" s="854"/>
      <c r="G725" s="854"/>
      <c r="H725" s="840">
        <f t="shared" si="22"/>
        <v>0</v>
      </c>
      <c r="I725" s="840">
        <f t="shared" si="23"/>
        <v>462800</v>
      </c>
    </row>
    <row r="726" spans="1:9" ht="75">
      <c r="A726" s="1081"/>
      <c r="B726" s="475" t="s">
        <v>1241</v>
      </c>
      <c r="C726" s="530">
        <v>10000</v>
      </c>
      <c r="D726" s="530"/>
      <c r="E726" s="905">
        <v>10000</v>
      </c>
      <c r="F726" s="841"/>
      <c r="G726" s="841"/>
      <c r="H726" s="840">
        <f t="shared" si="22"/>
        <v>0</v>
      </c>
      <c r="I726" s="840">
        <f t="shared" si="23"/>
        <v>20000</v>
      </c>
    </row>
    <row r="727" spans="1:9" hidden="1">
      <c r="A727" s="1081"/>
      <c r="B727" s="887"/>
      <c r="C727" s="916"/>
      <c r="D727" s="916"/>
      <c r="E727" s="916"/>
      <c r="F727" s="841"/>
      <c r="G727" s="841"/>
      <c r="H727" s="840">
        <f t="shared" si="22"/>
        <v>0</v>
      </c>
      <c r="I727" s="840">
        <f t="shared" si="23"/>
        <v>0</v>
      </c>
    </row>
    <row r="728" spans="1:9" hidden="1">
      <c r="A728" s="1081"/>
      <c r="B728" s="887"/>
      <c r="C728" s="916"/>
      <c r="D728" s="916"/>
      <c r="E728" s="916"/>
      <c r="F728" s="841"/>
      <c r="G728" s="841"/>
      <c r="H728" s="840">
        <f t="shared" si="22"/>
        <v>0</v>
      </c>
      <c r="I728" s="840">
        <f t="shared" si="23"/>
        <v>0</v>
      </c>
    </row>
    <row r="729" spans="1:9" hidden="1">
      <c r="A729" s="1081"/>
      <c r="B729" s="887"/>
      <c r="C729" s="916"/>
      <c r="D729" s="916"/>
      <c r="E729" s="916"/>
      <c r="F729" s="841"/>
      <c r="G729" s="841"/>
      <c r="H729" s="840">
        <f t="shared" si="22"/>
        <v>0</v>
      </c>
      <c r="I729" s="840">
        <f t="shared" si="23"/>
        <v>0</v>
      </c>
    </row>
    <row r="730" spans="1:9" hidden="1">
      <c r="A730" s="1081"/>
      <c r="B730" s="858"/>
      <c r="C730" s="929"/>
      <c r="D730" s="916"/>
      <c r="E730" s="907"/>
      <c r="F730" s="841"/>
      <c r="G730" s="841"/>
      <c r="H730" s="840">
        <f t="shared" si="22"/>
        <v>0</v>
      </c>
      <c r="I730" s="840">
        <f t="shared" si="23"/>
        <v>0</v>
      </c>
    </row>
    <row r="731" spans="1:9" hidden="1">
      <c r="A731" s="1081"/>
      <c r="B731" s="858"/>
      <c r="C731" s="916"/>
      <c r="D731" s="916"/>
      <c r="E731" s="907"/>
      <c r="F731" s="841"/>
      <c r="G731" s="841"/>
      <c r="H731" s="840">
        <f t="shared" si="22"/>
        <v>0</v>
      </c>
      <c r="I731" s="840">
        <f t="shared" si="23"/>
        <v>0</v>
      </c>
    </row>
    <row r="732" spans="1:9" s="302" customFormat="1" hidden="1">
      <c r="A732" s="1068"/>
      <c r="B732" s="475"/>
      <c r="C732" s="912"/>
      <c r="D732" s="912"/>
      <c r="E732" s="912"/>
      <c r="F732" s="841"/>
      <c r="G732" s="841"/>
      <c r="H732" s="840">
        <f t="shared" si="22"/>
        <v>0</v>
      </c>
      <c r="I732" s="840">
        <f t="shared" si="23"/>
        <v>0</v>
      </c>
    </row>
    <row r="733" spans="1:9" s="302" customFormat="1" hidden="1">
      <c r="A733" s="1068"/>
      <c r="B733" s="475"/>
      <c r="C733" s="916"/>
      <c r="D733" s="916"/>
      <c r="E733" s="916"/>
      <c r="F733" s="841"/>
      <c r="G733" s="841"/>
      <c r="H733" s="840">
        <f t="shared" si="22"/>
        <v>0</v>
      </c>
      <c r="I733" s="840">
        <f t="shared" si="23"/>
        <v>0</v>
      </c>
    </row>
    <row r="734" spans="1:9" s="302" customFormat="1" hidden="1">
      <c r="A734" s="1068"/>
      <c r="B734" s="475"/>
      <c r="C734" s="916"/>
      <c r="D734" s="916"/>
      <c r="E734" s="905"/>
      <c r="F734" s="841"/>
      <c r="G734" s="841"/>
      <c r="H734" s="840">
        <f t="shared" si="22"/>
        <v>0</v>
      </c>
      <c r="I734" s="840">
        <f t="shared" si="23"/>
        <v>0</v>
      </c>
    </row>
    <row r="735" spans="1:9" s="302" customFormat="1" hidden="1">
      <c r="A735" s="1068"/>
      <c r="B735" s="475"/>
      <c r="C735" s="912"/>
      <c r="D735" s="905"/>
      <c r="E735" s="905"/>
      <c r="F735" s="841"/>
      <c r="G735" s="841"/>
      <c r="H735" s="840">
        <f t="shared" si="22"/>
        <v>0</v>
      </c>
      <c r="I735" s="840">
        <f t="shared" si="23"/>
        <v>0</v>
      </c>
    </row>
    <row r="736" spans="1:9" s="302" customFormat="1" hidden="1">
      <c r="A736" s="1068"/>
      <c r="B736" s="475"/>
      <c r="C736" s="912"/>
      <c r="D736" s="905"/>
      <c r="E736" s="905"/>
      <c r="F736" s="841"/>
      <c r="G736" s="841"/>
      <c r="H736" s="840">
        <f t="shared" si="22"/>
        <v>0</v>
      </c>
      <c r="I736" s="840">
        <f t="shared" si="23"/>
        <v>0</v>
      </c>
    </row>
    <row r="737" spans="1:9" s="302" customFormat="1" hidden="1">
      <c r="A737" s="1068"/>
      <c r="B737" s="475"/>
      <c r="C737" s="916"/>
      <c r="D737" s="916"/>
      <c r="E737" s="907"/>
      <c r="F737" s="841"/>
      <c r="G737" s="841"/>
      <c r="H737" s="840">
        <f t="shared" si="22"/>
        <v>0</v>
      </c>
      <c r="I737" s="840">
        <f t="shared" si="23"/>
        <v>0</v>
      </c>
    </row>
    <row r="738" spans="1:9" s="302" customFormat="1" ht="18" hidden="1" customHeight="1">
      <c r="A738" s="1071"/>
      <c r="B738" s="894"/>
      <c r="C738" s="922"/>
      <c r="D738" s="922"/>
      <c r="E738" s="930"/>
      <c r="F738" s="841"/>
      <c r="G738" s="841"/>
      <c r="H738" s="840">
        <f t="shared" si="22"/>
        <v>0</v>
      </c>
      <c r="I738" s="840">
        <f t="shared" si="23"/>
        <v>0</v>
      </c>
    </row>
    <row r="739" spans="1:9" s="302" customFormat="1" ht="18" hidden="1" customHeight="1">
      <c r="A739" s="1071"/>
      <c r="B739" s="475"/>
      <c r="C739" s="912"/>
      <c r="D739" s="912"/>
      <c r="E739" s="912"/>
      <c r="F739" s="841"/>
      <c r="G739" s="841"/>
      <c r="H739" s="840">
        <f t="shared" si="22"/>
        <v>0</v>
      </c>
      <c r="I739" s="840">
        <f t="shared" si="23"/>
        <v>0</v>
      </c>
    </row>
    <row r="740" spans="1:9" s="302" customFormat="1" ht="18" hidden="1" customHeight="1">
      <c r="A740" s="1071"/>
      <c r="B740" s="887"/>
      <c r="C740" s="916"/>
      <c r="D740" s="916"/>
      <c r="E740" s="907"/>
      <c r="F740" s="841"/>
      <c r="G740" s="841"/>
      <c r="H740" s="840">
        <f t="shared" si="22"/>
        <v>0</v>
      </c>
      <c r="I740" s="840">
        <f t="shared" si="23"/>
        <v>0</v>
      </c>
    </row>
    <row r="741" spans="1:9" s="302" customFormat="1" ht="18" hidden="1" customHeight="1">
      <c r="A741" s="1071"/>
      <c r="B741" s="475"/>
      <c r="C741" s="916"/>
      <c r="D741" s="916"/>
      <c r="E741" s="905"/>
      <c r="F741" s="841"/>
      <c r="G741" s="841"/>
      <c r="H741" s="840">
        <f t="shared" si="22"/>
        <v>0</v>
      </c>
      <c r="I741" s="840">
        <f t="shared" si="23"/>
        <v>0</v>
      </c>
    </row>
    <row r="742" spans="1:9" s="302" customFormat="1" ht="18" hidden="1" customHeight="1">
      <c r="A742" s="1071"/>
      <c r="B742" s="475"/>
      <c r="C742" s="916"/>
      <c r="D742" s="916"/>
      <c r="E742" s="905"/>
      <c r="F742" s="841"/>
      <c r="G742" s="841"/>
      <c r="H742" s="840">
        <f t="shared" si="22"/>
        <v>0</v>
      </c>
      <c r="I742" s="840">
        <f t="shared" si="23"/>
        <v>0</v>
      </c>
    </row>
    <row r="743" spans="1:9" s="302" customFormat="1" ht="18" hidden="1" customHeight="1">
      <c r="A743" s="1071"/>
      <c r="B743" s="475"/>
      <c r="C743" s="916"/>
      <c r="D743" s="916"/>
      <c r="E743" s="905"/>
      <c r="F743" s="841"/>
      <c r="G743" s="841"/>
      <c r="H743" s="840">
        <f t="shared" si="22"/>
        <v>0</v>
      </c>
      <c r="I743" s="840">
        <f t="shared" si="23"/>
        <v>0</v>
      </c>
    </row>
    <row r="744" spans="1:9" s="302" customFormat="1" ht="18" hidden="1" customHeight="1">
      <c r="A744" s="1071"/>
      <c r="B744" s="475"/>
      <c r="C744" s="916"/>
      <c r="D744" s="916"/>
      <c r="E744" s="905"/>
      <c r="F744" s="841"/>
      <c r="G744" s="841"/>
      <c r="H744" s="840">
        <f t="shared" si="22"/>
        <v>0</v>
      </c>
      <c r="I744" s="840">
        <f t="shared" si="23"/>
        <v>0</v>
      </c>
    </row>
    <row r="745" spans="1:9" s="302" customFormat="1" ht="18" hidden="1" customHeight="1">
      <c r="A745" s="1071"/>
      <c r="B745" s="475"/>
      <c r="C745" s="916"/>
      <c r="D745" s="916"/>
      <c r="E745" s="905"/>
      <c r="F745" s="841"/>
      <c r="G745" s="841"/>
      <c r="H745" s="840">
        <f t="shared" si="22"/>
        <v>0</v>
      </c>
      <c r="I745" s="840">
        <f t="shared" si="23"/>
        <v>0</v>
      </c>
    </row>
    <row r="746" spans="1:9" s="302" customFormat="1" ht="18" hidden="1" customHeight="1">
      <c r="A746" s="1071"/>
      <c r="B746" s="475"/>
      <c r="C746" s="916"/>
      <c r="D746" s="916"/>
      <c r="E746" s="905"/>
      <c r="F746" s="841"/>
      <c r="G746" s="841"/>
      <c r="H746" s="840">
        <f t="shared" si="22"/>
        <v>0</v>
      </c>
      <c r="I746" s="840">
        <f t="shared" si="23"/>
        <v>0</v>
      </c>
    </row>
    <row r="747" spans="1:9" s="302" customFormat="1" ht="18" hidden="1" customHeight="1">
      <c r="A747" s="1071"/>
      <c r="B747" s="475"/>
      <c r="C747" s="916"/>
      <c r="D747" s="916"/>
      <c r="E747" s="905"/>
      <c r="F747" s="841"/>
      <c r="G747" s="841"/>
      <c r="H747" s="840">
        <f t="shared" si="22"/>
        <v>0</v>
      </c>
      <c r="I747" s="840">
        <f t="shared" si="23"/>
        <v>0</v>
      </c>
    </row>
    <row r="748" spans="1:9" s="302" customFormat="1" ht="18" hidden="1" customHeight="1">
      <c r="A748" s="1071"/>
      <c r="B748" s="475"/>
      <c r="C748" s="916"/>
      <c r="D748" s="916"/>
      <c r="E748" s="905"/>
      <c r="F748" s="841"/>
      <c r="G748" s="841"/>
      <c r="H748" s="840">
        <f t="shared" si="22"/>
        <v>0</v>
      </c>
      <c r="I748" s="840">
        <f t="shared" si="23"/>
        <v>0</v>
      </c>
    </row>
    <row r="749" spans="1:9" s="302" customFormat="1" ht="18" hidden="1" customHeight="1">
      <c r="A749" s="1071"/>
      <c r="B749" s="475"/>
      <c r="C749" s="916"/>
      <c r="D749" s="916"/>
      <c r="E749" s="905"/>
      <c r="F749" s="841"/>
      <c r="G749" s="841"/>
      <c r="H749" s="840">
        <f t="shared" si="22"/>
        <v>0</v>
      </c>
      <c r="I749" s="840">
        <f t="shared" si="23"/>
        <v>0</v>
      </c>
    </row>
    <row r="750" spans="1:9" s="302" customFormat="1" ht="18" hidden="1" customHeight="1">
      <c r="A750" s="1071"/>
      <c r="B750" s="475"/>
      <c r="C750" s="916"/>
      <c r="D750" s="916"/>
      <c r="E750" s="905"/>
      <c r="F750" s="841"/>
      <c r="G750" s="841"/>
      <c r="H750" s="840">
        <f t="shared" si="22"/>
        <v>0</v>
      </c>
      <c r="I750" s="840">
        <f t="shared" si="23"/>
        <v>0</v>
      </c>
    </row>
    <row r="751" spans="1:9" s="302" customFormat="1" ht="18" hidden="1" customHeight="1">
      <c r="A751" s="1071"/>
      <c r="B751" s="475"/>
      <c r="C751" s="916"/>
      <c r="D751" s="916"/>
      <c r="E751" s="905"/>
      <c r="F751" s="841"/>
      <c r="G751" s="841"/>
      <c r="H751" s="840">
        <f t="shared" si="22"/>
        <v>0</v>
      </c>
      <c r="I751" s="840">
        <f t="shared" si="23"/>
        <v>0</v>
      </c>
    </row>
    <row r="752" spans="1:9" s="302" customFormat="1" ht="18" hidden="1" customHeight="1">
      <c r="A752" s="1071"/>
      <c r="B752" s="475"/>
      <c r="C752" s="916"/>
      <c r="D752" s="916"/>
      <c r="E752" s="905"/>
      <c r="F752" s="841"/>
      <c r="G752" s="841"/>
      <c r="H752" s="840">
        <f t="shared" si="22"/>
        <v>0</v>
      </c>
      <c r="I752" s="840">
        <f t="shared" si="23"/>
        <v>0</v>
      </c>
    </row>
    <row r="753" spans="1:9" s="302" customFormat="1" ht="18" hidden="1" customHeight="1">
      <c r="A753" s="1071"/>
      <c r="B753" s="475"/>
      <c r="C753" s="916"/>
      <c r="D753" s="916"/>
      <c r="E753" s="905"/>
      <c r="F753" s="841"/>
      <c r="G753" s="841"/>
      <c r="H753" s="840">
        <f t="shared" si="22"/>
        <v>0</v>
      </c>
      <c r="I753" s="840">
        <f t="shared" si="23"/>
        <v>0</v>
      </c>
    </row>
    <row r="754" spans="1:9" s="302" customFormat="1" ht="18" hidden="1" customHeight="1">
      <c r="A754" s="1071"/>
      <c r="B754" s="475"/>
      <c r="C754" s="916"/>
      <c r="D754" s="916"/>
      <c r="E754" s="905"/>
      <c r="F754" s="841"/>
      <c r="G754" s="841"/>
      <c r="H754" s="840">
        <f t="shared" si="22"/>
        <v>0</v>
      </c>
      <c r="I754" s="840">
        <f t="shared" si="23"/>
        <v>0</v>
      </c>
    </row>
    <row r="755" spans="1:9" s="302" customFormat="1" ht="18" hidden="1" customHeight="1">
      <c r="A755" s="1071"/>
      <c r="B755" s="475"/>
      <c r="C755" s="916"/>
      <c r="D755" s="916"/>
      <c r="E755" s="905"/>
      <c r="F755" s="841"/>
      <c r="G755" s="841"/>
      <c r="H755" s="840">
        <f t="shared" si="22"/>
        <v>0</v>
      </c>
      <c r="I755" s="840">
        <f t="shared" si="23"/>
        <v>0</v>
      </c>
    </row>
    <row r="756" spans="1:9" s="302" customFormat="1" ht="18" hidden="1" customHeight="1">
      <c r="A756" s="1071"/>
      <c r="B756" s="475"/>
      <c r="C756" s="916"/>
      <c r="D756" s="916"/>
      <c r="E756" s="905"/>
      <c r="F756" s="841"/>
      <c r="G756" s="841"/>
      <c r="H756" s="840">
        <f t="shared" si="22"/>
        <v>0</v>
      </c>
      <c r="I756" s="840">
        <f t="shared" si="23"/>
        <v>0</v>
      </c>
    </row>
    <row r="757" spans="1:9" s="302" customFormat="1" ht="18" hidden="1" customHeight="1">
      <c r="A757" s="1071"/>
      <c r="B757" s="475"/>
      <c r="C757" s="916"/>
      <c r="D757" s="916"/>
      <c r="E757" s="905"/>
      <c r="F757" s="841"/>
      <c r="G757" s="841"/>
      <c r="H757" s="840">
        <f t="shared" si="22"/>
        <v>0</v>
      </c>
      <c r="I757" s="840">
        <f t="shared" si="23"/>
        <v>0</v>
      </c>
    </row>
    <row r="758" spans="1:9" s="302" customFormat="1" ht="18" hidden="1" customHeight="1">
      <c r="A758" s="1071"/>
      <c r="B758" s="475"/>
      <c r="C758" s="916"/>
      <c r="D758" s="916"/>
      <c r="E758" s="905"/>
      <c r="F758" s="841"/>
      <c r="G758" s="841"/>
      <c r="H758" s="840">
        <f t="shared" si="22"/>
        <v>0</v>
      </c>
      <c r="I758" s="840">
        <f t="shared" si="23"/>
        <v>0</v>
      </c>
    </row>
    <row r="759" spans="1:9" s="302" customFormat="1" ht="18" hidden="1" customHeight="1">
      <c r="A759" s="1071"/>
      <c r="B759" s="475"/>
      <c r="C759" s="916"/>
      <c r="D759" s="916"/>
      <c r="E759" s="905"/>
      <c r="F759" s="841"/>
      <c r="G759" s="841"/>
      <c r="H759" s="840">
        <f t="shared" si="22"/>
        <v>0</v>
      </c>
      <c r="I759" s="840">
        <f t="shared" si="23"/>
        <v>0</v>
      </c>
    </row>
    <row r="760" spans="1:9" s="302" customFormat="1" ht="18" hidden="1" customHeight="1">
      <c r="A760" s="1071"/>
      <c r="B760" s="475"/>
      <c r="C760" s="916"/>
      <c r="D760" s="916"/>
      <c r="E760" s="905"/>
      <c r="F760" s="841"/>
      <c r="G760" s="841"/>
      <c r="H760" s="840">
        <f t="shared" si="22"/>
        <v>0</v>
      </c>
      <c r="I760" s="840">
        <f t="shared" si="23"/>
        <v>0</v>
      </c>
    </row>
    <row r="761" spans="1:9" s="302" customFormat="1" ht="18" hidden="1" customHeight="1">
      <c r="A761" s="1071"/>
      <c r="B761" s="475"/>
      <c r="C761" s="916"/>
      <c r="D761" s="916"/>
      <c r="E761" s="905"/>
      <c r="F761" s="841"/>
      <c r="G761" s="841"/>
      <c r="H761" s="840">
        <f t="shared" si="22"/>
        <v>0</v>
      </c>
      <c r="I761" s="840">
        <f t="shared" si="23"/>
        <v>0</v>
      </c>
    </row>
    <row r="762" spans="1:9" s="302" customFormat="1" ht="18" hidden="1" customHeight="1">
      <c r="A762" s="1071"/>
      <c r="B762" s="475"/>
      <c r="C762" s="916"/>
      <c r="D762" s="916"/>
      <c r="E762" s="905"/>
      <c r="F762" s="841"/>
      <c r="G762" s="841"/>
      <c r="H762" s="840">
        <f t="shared" si="22"/>
        <v>0</v>
      </c>
      <c r="I762" s="840">
        <f t="shared" si="23"/>
        <v>0</v>
      </c>
    </row>
    <row r="763" spans="1:9" s="302" customFormat="1" ht="18" hidden="1" customHeight="1">
      <c r="A763" s="1071"/>
      <c r="B763" s="475"/>
      <c r="C763" s="916"/>
      <c r="D763" s="916"/>
      <c r="E763" s="905"/>
      <c r="F763" s="841"/>
      <c r="G763" s="841"/>
      <c r="H763" s="840">
        <f t="shared" si="22"/>
        <v>0</v>
      </c>
      <c r="I763" s="840">
        <f t="shared" si="23"/>
        <v>0</v>
      </c>
    </row>
    <row r="764" spans="1:9" s="302" customFormat="1" ht="18" hidden="1" customHeight="1">
      <c r="A764" s="1071"/>
      <c r="B764" s="864"/>
      <c r="C764" s="917"/>
      <c r="D764" s="917"/>
      <c r="E764" s="918"/>
      <c r="F764" s="841"/>
      <c r="G764" s="841"/>
      <c r="H764" s="840">
        <f t="shared" si="22"/>
        <v>0</v>
      </c>
      <c r="I764" s="840">
        <f t="shared" si="23"/>
        <v>0</v>
      </c>
    </row>
    <row r="765" spans="1:9">
      <c r="A765" s="1081"/>
      <c r="B765" s="461" t="s">
        <v>253</v>
      </c>
      <c r="C765" s="919">
        <f>SUM(C725:C764)</f>
        <v>241400</v>
      </c>
      <c r="D765" s="919">
        <f>SUM(D725:D764)</f>
        <v>231400</v>
      </c>
      <c r="E765" s="919">
        <f>SUM(E725:E764)</f>
        <v>10000</v>
      </c>
      <c r="F765" s="850">
        <f>SUM(F725:F726)</f>
        <v>0</v>
      </c>
      <c r="G765" s="851">
        <f>SUM(G725:G726)</f>
        <v>0</v>
      </c>
      <c r="H765" s="840">
        <f t="shared" si="22"/>
        <v>0</v>
      </c>
      <c r="I765" s="840">
        <f t="shared" si="23"/>
        <v>482800</v>
      </c>
    </row>
    <row r="766" spans="1:9" ht="75">
      <c r="A766" s="1081" t="s">
        <v>269</v>
      </c>
      <c r="B766" s="887" t="s">
        <v>952</v>
      </c>
      <c r="C766" s="530">
        <v>88800</v>
      </c>
      <c r="D766" s="530">
        <v>88800</v>
      </c>
      <c r="E766" s="905"/>
      <c r="F766" s="854"/>
      <c r="G766" s="854"/>
      <c r="H766" s="840">
        <f t="shared" si="22"/>
        <v>0</v>
      </c>
      <c r="I766" s="840">
        <f t="shared" si="23"/>
        <v>177600</v>
      </c>
    </row>
    <row r="767" spans="1:9" ht="75">
      <c r="A767" s="1081"/>
      <c r="B767" s="475" t="s">
        <v>1242</v>
      </c>
      <c r="C767" s="530">
        <v>40000</v>
      </c>
      <c r="D767" s="530">
        <v>40000</v>
      </c>
      <c r="E767" s="905"/>
      <c r="F767" s="854"/>
      <c r="G767" s="854"/>
      <c r="H767" s="840">
        <f t="shared" si="22"/>
        <v>0</v>
      </c>
      <c r="I767" s="840">
        <f t="shared" si="23"/>
        <v>80000</v>
      </c>
    </row>
    <row r="768" spans="1:9" ht="56.25">
      <c r="A768" s="1081"/>
      <c r="B768" s="475" t="s">
        <v>1243</v>
      </c>
      <c r="C768" s="530">
        <v>10000</v>
      </c>
      <c r="D768" s="530"/>
      <c r="E768" s="905">
        <v>10000</v>
      </c>
      <c r="F768" s="841"/>
      <c r="G768" s="841"/>
      <c r="H768" s="840">
        <f t="shared" si="22"/>
        <v>0</v>
      </c>
      <c r="I768" s="840">
        <f t="shared" si="23"/>
        <v>20000</v>
      </c>
    </row>
    <row r="769" spans="1:9" ht="56.25">
      <c r="A769" s="1081"/>
      <c r="B769" s="475" t="s">
        <v>1244</v>
      </c>
      <c r="C769" s="530">
        <v>10000</v>
      </c>
      <c r="D769" s="530"/>
      <c r="E769" s="905">
        <v>10000</v>
      </c>
      <c r="F769" s="841"/>
      <c r="G769" s="841"/>
      <c r="H769" s="840">
        <f t="shared" si="22"/>
        <v>0</v>
      </c>
      <c r="I769" s="840">
        <f t="shared" si="23"/>
        <v>20000</v>
      </c>
    </row>
    <row r="770" spans="1:9" ht="56.25">
      <c r="A770" s="1081"/>
      <c r="B770" s="475" t="s">
        <v>1245</v>
      </c>
      <c r="C770" s="530">
        <v>7000</v>
      </c>
      <c r="D770" s="530"/>
      <c r="E770" s="905">
        <v>7000</v>
      </c>
      <c r="F770" s="841"/>
      <c r="G770" s="841"/>
      <c r="H770" s="840">
        <f t="shared" si="22"/>
        <v>0</v>
      </c>
      <c r="I770" s="840">
        <f t="shared" si="23"/>
        <v>14000</v>
      </c>
    </row>
    <row r="771" spans="1:9" ht="56.25">
      <c r="A771" s="1081"/>
      <c r="B771" s="475" t="s">
        <v>1246</v>
      </c>
      <c r="C771" s="530">
        <v>10000</v>
      </c>
      <c r="D771" s="530"/>
      <c r="E771" s="905">
        <v>10000</v>
      </c>
      <c r="F771" s="841"/>
      <c r="G771" s="841"/>
      <c r="H771" s="840">
        <f t="shared" si="22"/>
        <v>0</v>
      </c>
      <c r="I771" s="840">
        <f t="shared" si="23"/>
        <v>20000</v>
      </c>
    </row>
    <row r="772" spans="1:9" ht="93.75">
      <c r="A772" s="1081"/>
      <c r="B772" s="475" t="s">
        <v>2013</v>
      </c>
      <c r="C772" s="908">
        <v>78689</v>
      </c>
      <c r="D772" s="932">
        <v>48689</v>
      </c>
      <c r="E772" s="932">
        <v>30000</v>
      </c>
      <c r="F772" s="841"/>
      <c r="G772" s="841"/>
      <c r="H772" s="840">
        <f t="shared" si="22"/>
        <v>0</v>
      </c>
      <c r="I772" s="840">
        <f t="shared" si="23"/>
        <v>157378</v>
      </c>
    </row>
    <row r="773" spans="1:9" ht="56.25">
      <c r="A773" s="1081"/>
      <c r="B773" s="475" t="s">
        <v>2014</v>
      </c>
      <c r="C773" s="905">
        <v>20000</v>
      </c>
      <c r="D773" s="905">
        <v>20000</v>
      </c>
      <c r="E773" s="905"/>
      <c r="F773" s="841"/>
      <c r="G773" s="841"/>
      <c r="H773" s="840">
        <f t="shared" si="22"/>
        <v>0</v>
      </c>
      <c r="I773" s="840">
        <f t="shared" si="23"/>
        <v>40000</v>
      </c>
    </row>
    <row r="774" spans="1:9" ht="93.75">
      <c r="A774" s="1081"/>
      <c r="B774" s="475" t="s">
        <v>2015</v>
      </c>
      <c r="C774" s="908">
        <v>20000</v>
      </c>
      <c r="D774" s="908">
        <v>20000</v>
      </c>
      <c r="E774" s="905"/>
      <c r="F774" s="841"/>
      <c r="G774" s="841"/>
      <c r="H774" s="840">
        <f t="shared" si="22"/>
        <v>0</v>
      </c>
      <c r="I774" s="840">
        <f t="shared" si="23"/>
        <v>40000</v>
      </c>
    </row>
    <row r="775" spans="1:9" hidden="1">
      <c r="A775" s="1081"/>
      <c r="B775" s="475"/>
      <c r="C775" s="916"/>
      <c r="D775" s="916"/>
      <c r="E775" s="905"/>
      <c r="F775" s="841"/>
      <c r="G775" s="841"/>
      <c r="H775" s="840">
        <f t="shared" si="22"/>
        <v>0</v>
      </c>
      <c r="I775" s="840">
        <f t="shared" si="23"/>
        <v>0</v>
      </c>
    </row>
    <row r="776" spans="1:9" hidden="1">
      <c r="A776" s="1081"/>
      <c r="B776" s="475"/>
      <c r="C776" s="916"/>
      <c r="D776" s="916"/>
      <c r="E776" s="905"/>
      <c r="F776" s="841"/>
      <c r="G776" s="841"/>
      <c r="H776" s="840">
        <f t="shared" si="22"/>
        <v>0</v>
      </c>
      <c r="I776" s="840">
        <f t="shared" si="23"/>
        <v>0</v>
      </c>
    </row>
    <row r="777" spans="1:9" hidden="1">
      <c r="A777" s="1081"/>
      <c r="B777" s="475"/>
      <c r="C777" s="916"/>
      <c r="D777" s="916"/>
      <c r="E777" s="905"/>
      <c r="F777" s="841"/>
      <c r="G777" s="841"/>
      <c r="H777" s="840">
        <f t="shared" ref="H777:H840" si="24">E777+D777-C777</f>
        <v>0</v>
      </c>
      <c r="I777" s="840">
        <f t="shared" ref="I777:I840" si="25">SUM(C777:E777)</f>
        <v>0</v>
      </c>
    </row>
    <row r="778" spans="1:9" hidden="1">
      <c r="A778" s="1081"/>
      <c r="B778" s="475"/>
      <c r="C778" s="916"/>
      <c r="D778" s="916"/>
      <c r="E778" s="905"/>
      <c r="F778" s="841"/>
      <c r="G778" s="841"/>
      <c r="H778" s="840">
        <f t="shared" si="24"/>
        <v>0</v>
      </c>
      <c r="I778" s="840">
        <f t="shared" si="25"/>
        <v>0</v>
      </c>
    </row>
    <row r="779" spans="1:9" hidden="1">
      <c r="A779" s="1081"/>
      <c r="B779" s="895"/>
      <c r="C779" s="905"/>
      <c r="D779" s="931"/>
      <c r="E779" s="905"/>
      <c r="F779" s="841"/>
      <c r="G779" s="841"/>
      <c r="H779" s="840">
        <f t="shared" si="24"/>
        <v>0</v>
      </c>
      <c r="I779" s="840">
        <f t="shared" si="25"/>
        <v>0</v>
      </c>
    </row>
    <row r="780" spans="1:9" hidden="1">
      <c r="A780" s="1081"/>
      <c r="B780" s="887"/>
      <c r="C780" s="916"/>
      <c r="D780" s="916"/>
      <c r="E780" s="907"/>
      <c r="F780" s="841"/>
      <c r="G780" s="841"/>
      <c r="H780" s="840">
        <f t="shared" si="24"/>
        <v>0</v>
      </c>
      <c r="I780" s="840">
        <f t="shared" si="25"/>
        <v>0</v>
      </c>
    </row>
    <row r="781" spans="1:9" hidden="1">
      <c r="A781" s="1081"/>
      <c r="B781" s="887"/>
      <c r="C781" s="916"/>
      <c r="D781" s="916"/>
      <c r="E781" s="907"/>
      <c r="F781" s="841"/>
      <c r="G781" s="841"/>
      <c r="H781" s="840">
        <f t="shared" si="24"/>
        <v>0</v>
      </c>
      <c r="I781" s="840">
        <f t="shared" si="25"/>
        <v>0</v>
      </c>
    </row>
    <row r="782" spans="1:9" hidden="1">
      <c r="A782" s="1081"/>
      <c r="B782" s="887"/>
      <c r="C782" s="916"/>
      <c r="D782" s="916"/>
      <c r="E782" s="907"/>
      <c r="F782" s="841"/>
      <c r="G782" s="841"/>
      <c r="H782" s="840">
        <f t="shared" si="24"/>
        <v>0</v>
      </c>
      <c r="I782" s="840">
        <f t="shared" si="25"/>
        <v>0</v>
      </c>
    </row>
    <row r="783" spans="1:9" hidden="1">
      <c r="A783" s="1081"/>
      <c r="B783" s="887"/>
      <c r="C783" s="916"/>
      <c r="D783" s="916"/>
      <c r="E783" s="907"/>
      <c r="F783" s="841"/>
      <c r="G783" s="841"/>
      <c r="H783" s="840">
        <f t="shared" si="24"/>
        <v>0</v>
      </c>
      <c r="I783" s="840">
        <f t="shared" si="25"/>
        <v>0</v>
      </c>
    </row>
    <row r="784" spans="1:9" hidden="1">
      <c r="A784" s="1081"/>
      <c r="B784" s="887"/>
      <c r="C784" s="916"/>
      <c r="D784" s="916"/>
      <c r="E784" s="907"/>
      <c r="F784" s="841"/>
      <c r="G784" s="841"/>
      <c r="H784" s="840">
        <f t="shared" si="24"/>
        <v>0</v>
      </c>
      <c r="I784" s="840">
        <f t="shared" si="25"/>
        <v>0</v>
      </c>
    </row>
    <row r="785" spans="1:9" s="302" customFormat="1" hidden="1">
      <c r="A785" s="1068"/>
      <c r="B785" s="475"/>
      <c r="C785" s="916"/>
      <c r="D785" s="916"/>
      <c r="E785" s="905"/>
      <c r="F785" s="841"/>
      <c r="G785" s="841"/>
      <c r="H785" s="840">
        <f t="shared" si="24"/>
        <v>0</v>
      </c>
      <c r="I785" s="840">
        <f t="shared" si="25"/>
        <v>0</v>
      </c>
    </row>
    <row r="786" spans="1:9" s="302" customFormat="1" hidden="1">
      <c r="A786" s="1068"/>
      <c r="B786" s="895"/>
      <c r="C786" s="905"/>
      <c r="D786" s="905"/>
      <c r="E786" s="905"/>
      <c r="F786" s="841"/>
      <c r="G786" s="841"/>
      <c r="H786" s="840">
        <f t="shared" si="24"/>
        <v>0</v>
      </c>
      <c r="I786" s="840">
        <f t="shared" si="25"/>
        <v>0</v>
      </c>
    </row>
    <row r="787" spans="1:9" s="302" customFormat="1" hidden="1">
      <c r="A787" s="1068"/>
      <c r="B787" s="475"/>
      <c r="C787" s="916"/>
      <c r="D787" s="916"/>
      <c r="E787" s="905"/>
      <c r="F787" s="841"/>
      <c r="G787" s="841"/>
      <c r="H787" s="840">
        <f t="shared" si="24"/>
        <v>0</v>
      </c>
      <c r="I787" s="840">
        <f t="shared" si="25"/>
        <v>0</v>
      </c>
    </row>
    <row r="788" spans="1:9" s="302" customFormat="1" hidden="1">
      <c r="A788" s="1068"/>
      <c r="B788" s="475"/>
      <c r="C788" s="916"/>
      <c r="D788" s="916"/>
      <c r="E788" s="905"/>
      <c r="F788" s="841"/>
      <c r="G788" s="841"/>
      <c r="H788" s="840">
        <f t="shared" si="24"/>
        <v>0</v>
      </c>
      <c r="I788" s="840">
        <f t="shared" si="25"/>
        <v>0</v>
      </c>
    </row>
    <row r="789" spans="1:9" s="302" customFormat="1" hidden="1">
      <c r="A789" s="1068"/>
      <c r="B789" s="475"/>
      <c r="C789" s="916"/>
      <c r="D789" s="916"/>
      <c r="E789" s="905"/>
      <c r="F789" s="841"/>
      <c r="G789" s="841"/>
      <c r="H789" s="840">
        <f t="shared" si="24"/>
        <v>0</v>
      </c>
      <c r="I789" s="840">
        <f t="shared" si="25"/>
        <v>0</v>
      </c>
    </row>
    <row r="790" spans="1:9" s="302" customFormat="1" hidden="1">
      <c r="A790" s="1068"/>
      <c r="B790" s="475"/>
      <c r="C790" s="916"/>
      <c r="D790" s="916"/>
      <c r="E790" s="905"/>
      <c r="F790" s="841"/>
      <c r="G790" s="841"/>
      <c r="H790" s="840">
        <f t="shared" si="24"/>
        <v>0</v>
      </c>
      <c r="I790" s="840">
        <f t="shared" si="25"/>
        <v>0</v>
      </c>
    </row>
    <row r="791" spans="1:9" s="302" customFormat="1" hidden="1">
      <c r="A791" s="1068"/>
      <c r="B791" s="475"/>
      <c r="C791" s="916"/>
      <c r="D791" s="916"/>
      <c r="E791" s="905"/>
      <c r="F791" s="841"/>
      <c r="G791" s="841"/>
      <c r="H791" s="840">
        <f t="shared" si="24"/>
        <v>0</v>
      </c>
      <c r="I791" s="840">
        <f t="shared" si="25"/>
        <v>0</v>
      </c>
    </row>
    <row r="792" spans="1:9" s="302" customFormat="1" hidden="1">
      <c r="A792" s="1068"/>
      <c r="B792" s="475"/>
      <c r="C792" s="916"/>
      <c r="D792" s="916"/>
      <c r="E792" s="905"/>
      <c r="F792" s="841"/>
      <c r="G792" s="841"/>
      <c r="H792" s="840">
        <f t="shared" si="24"/>
        <v>0</v>
      </c>
      <c r="I792" s="840">
        <f t="shared" si="25"/>
        <v>0</v>
      </c>
    </row>
    <row r="793" spans="1:9" s="302" customFormat="1" hidden="1">
      <c r="A793" s="1068"/>
      <c r="B793" s="475"/>
      <c r="C793" s="905"/>
      <c r="D793" s="905"/>
      <c r="E793" s="905"/>
      <c r="F793" s="841"/>
      <c r="G793" s="841"/>
      <c r="H793" s="840">
        <f t="shared" si="24"/>
        <v>0</v>
      </c>
      <c r="I793" s="840">
        <f t="shared" si="25"/>
        <v>0</v>
      </c>
    </row>
    <row r="794" spans="1:9" s="302" customFormat="1" hidden="1">
      <c r="A794" s="1068"/>
      <c r="B794" s="475"/>
      <c r="C794" s="916"/>
      <c r="D794" s="916"/>
      <c r="E794" s="905"/>
      <c r="F794" s="841"/>
      <c r="G794" s="841"/>
      <c r="H794" s="840">
        <f t="shared" si="24"/>
        <v>0</v>
      </c>
      <c r="I794" s="840">
        <f t="shared" si="25"/>
        <v>0</v>
      </c>
    </row>
    <row r="795" spans="1:9" s="302" customFormat="1" hidden="1">
      <c r="A795" s="1068"/>
      <c r="B795" s="475"/>
      <c r="C795" s="916"/>
      <c r="D795" s="916"/>
      <c r="E795" s="905"/>
      <c r="F795" s="841"/>
      <c r="G795" s="841"/>
      <c r="H795" s="840">
        <f t="shared" si="24"/>
        <v>0</v>
      </c>
      <c r="I795" s="840">
        <f t="shared" si="25"/>
        <v>0</v>
      </c>
    </row>
    <row r="796" spans="1:9" s="302" customFormat="1" hidden="1">
      <c r="A796" s="1068"/>
      <c r="B796" s="475"/>
      <c r="C796" s="916"/>
      <c r="D796" s="916"/>
      <c r="E796" s="905"/>
      <c r="F796" s="841"/>
      <c r="G796" s="841"/>
      <c r="H796" s="840">
        <f t="shared" si="24"/>
        <v>0</v>
      </c>
      <c r="I796" s="840">
        <f t="shared" si="25"/>
        <v>0</v>
      </c>
    </row>
    <row r="797" spans="1:9" s="302" customFormat="1" hidden="1">
      <c r="A797" s="1068"/>
      <c r="B797" s="475"/>
      <c r="C797" s="916"/>
      <c r="D797" s="916"/>
      <c r="E797" s="905"/>
      <c r="F797" s="841"/>
      <c r="G797" s="841"/>
      <c r="H797" s="840">
        <f t="shared" si="24"/>
        <v>0</v>
      </c>
      <c r="I797" s="840">
        <f t="shared" si="25"/>
        <v>0</v>
      </c>
    </row>
    <row r="798" spans="1:9" s="302" customFormat="1" hidden="1">
      <c r="A798" s="1068"/>
      <c r="B798" s="475"/>
      <c r="C798" s="916"/>
      <c r="D798" s="916"/>
      <c r="E798" s="905"/>
      <c r="F798" s="841"/>
      <c r="G798" s="841"/>
      <c r="H798" s="840">
        <f t="shared" si="24"/>
        <v>0</v>
      </c>
      <c r="I798" s="840">
        <f t="shared" si="25"/>
        <v>0</v>
      </c>
    </row>
    <row r="799" spans="1:9" s="302" customFormat="1" hidden="1">
      <c r="A799" s="1068"/>
      <c r="B799" s="475"/>
      <c r="C799" s="916"/>
      <c r="D799" s="916"/>
      <c r="E799" s="905"/>
      <c r="F799" s="841"/>
      <c r="G799" s="841"/>
      <c r="H799" s="840">
        <f t="shared" si="24"/>
        <v>0</v>
      </c>
      <c r="I799" s="840">
        <f t="shared" si="25"/>
        <v>0</v>
      </c>
    </row>
    <row r="800" spans="1:9" s="302" customFormat="1" hidden="1">
      <c r="A800" s="1068"/>
      <c r="B800" s="475"/>
      <c r="C800" s="916"/>
      <c r="D800" s="916"/>
      <c r="E800" s="905"/>
      <c r="F800" s="841"/>
      <c r="G800" s="841"/>
      <c r="H800" s="840">
        <f t="shared" si="24"/>
        <v>0</v>
      </c>
      <c r="I800" s="840">
        <f t="shared" si="25"/>
        <v>0</v>
      </c>
    </row>
    <row r="801" spans="1:9" s="302" customFormat="1" hidden="1">
      <c r="A801" s="1068"/>
      <c r="B801" s="475"/>
      <c r="C801" s="916"/>
      <c r="D801" s="916"/>
      <c r="E801" s="905"/>
      <c r="F801" s="841"/>
      <c r="G801" s="841"/>
      <c r="H801" s="840">
        <f t="shared" si="24"/>
        <v>0</v>
      </c>
      <c r="I801" s="840">
        <f t="shared" si="25"/>
        <v>0</v>
      </c>
    </row>
    <row r="802" spans="1:9" s="302" customFormat="1" hidden="1">
      <c r="A802" s="1068"/>
      <c r="B802" s="475"/>
      <c r="C802" s="916"/>
      <c r="D802" s="916"/>
      <c r="E802" s="905"/>
      <c r="F802" s="841"/>
      <c r="G802" s="841"/>
      <c r="H802" s="840">
        <f t="shared" si="24"/>
        <v>0</v>
      </c>
      <c r="I802" s="840">
        <f t="shared" si="25"/>
        <v>0</v>
      </c>
    </row>
    <row r="803" spans="1:9" s="302" customFormat="1" hidden="1">
      <c r="A803" s="1068"/>
      <c r="B803" s="895"/>
      <c r="C803" s="905"/>
      <c r="D803" s="905"/>
      <c r="E803" s="905"/>
      <c r="F803" s="841"/>
      <c r="G803" s="841"/>
      <c r="H803" s="840">
        <f t="shared" si="24"/>
        <v>0</v>
      </c>
      <c r="I803" s="840">
        <f t="shared" si="25"/>
        <v>0</v>
      </c>
    </row>
    <row r="804" spans="1:9" s="302" customFormat="1" hidden="1">
      <c r="A804" s="1068"/>
      <c r="B804" s="895"/>
      <c r="C804" s="905"/>
      <c r="D804" s="905"/>
      <c r="E804" s="905"/>
      <c r="F804" s="841"/>
      <c r="G804" s="841"/>
      <c r="H804" s="840">
        <f t="shared" si="24"/>
        <v>0</v>
      </c>
      <c r="I804" s="840">
        <f t="shared" si="25"/>
        <v>0</v>
      </c>
    </row>
    <row r="805" spans="1:9" s="302" customFormat="1" hidden="1">
      <c r="A805" s="1071"/>
      <c r="B805" s="894"/>
      <c r="C805" s="926"/>
      <c r="D805" s="926"/>
      <c r="E805" s="926"/>
      <c r="F805" s="841"/>
      <c r="G805" s="841"/>
      <c r="H805" s="840">
        <f t="shared" si="24"/>
        <v>0</v>
      </c>
      <c r="I805" s="840">
        <f t="shared" si="25"/>
        <v>0</v>
      </c>
    </row>
    <row r="806" spans="1:9" s="302" customFormat="1" hidden="1">
      <c r="A806" s="1071"/>
      <c r="B806" s="475"/>
      <c r="C806" s="905"/>
      <c r="D806" s="905"/>
      <c r="E806" s="905"/>
      <c r="F806" s="841"/>
      <c r="G806" s="841"/>
      <c r="H806" s="840">
        <f t="shared" si="24"/>
        <v>0</v>
      </c>
      <c r="I806" s="840">
        <f t="shared" si="25"/>
        <v>0</v>
      </c>
    </row>
    <row r="807" spans="1:9" s="302" customFormat="1" hidden="1">
      <c r="A807" s="1071"/>
      <c r="B807" s="475"/>
      <c r="C807" s="905"/>
      <c r="D807" s="905"/>
      <c r="E807" s="905"/>
      <c r="F807" s="841"/>
      <c r="G807" s="841"/>
      <c r="H807" s="840">
        <f t="shared" si="24"/>
        <v>0</v>
      </c>
      <c r="I807" s="840">
        <f t="shared" si="25"/>
        <v>0</v>
      </c>
    </row>
    <row r="808" spans="1:9" s="302" customFormat="1" hidden="1">
      <c r="A808" s="1071"/>
      <c r="B808" s="475"/>
      <c r="C808" s="905"/>
      <c r="D808" s="905"/>
      <c r="E808" s="905"/>
      <c r="F808" s="841"/>
      <c r="G808" s="841"/>
      <c r="H808" s="840">
        <f t="shared" si="24"/>
        <v>0</v>
      </c>
      <c r="I808" s="840">
        <f t="shared" si="25"/>
        <v>0</v>
      </c>
    </row>
    <row r="809" spans="1:9" s="302" customFormat="1" hidden="1">
      <c r="A809" s="1071"/>
      <c r="B809" s="475"/>
      <c r="C809" s="905"/>
      <c r="D809" s="905"/>
      <c r="E809" s="905"/>
      <c r="F809" s="841"/>
      <c r="G809" s="841"/>
      <c r="H809" s="840">
        <f t="shared" si="24"/>
        <v>0</v>
      </c>
      <c r="I809" s="840">
        <f t="shared" si="25"/>
        <v>0</v>
      </c>
    </row>
    <row r="810" spans="1:9" s="302" customFormat="1" hidden="1">
      <c r="A810" s="1071"/>
      <c r="B810" s="475"/>
      <c r="C810" s="905"/>
      <c r="D810" s="905"/>
      <c r="E810" s="905"/>
      <c r="F810" s="841"/>
      <c r="G810" s="841"/>
      <c r="H810" s="840">
        <f t="shared" si="24"/>
        <v>0</v>
      </c>
      <c r="I810" s="840">
        <f t="shared" si="25"/>
        <v>0</v>
      </c>
    </row>
    <row r="811" spans="1:9" s="302" customFormat="1" hidden="1">
      <c r="A811" s="1071"/>
      <c r="B811" s="475"/>
      <c r="C811" s="905"/>
      <c r="D811" s="905"/>
      <c r="E811" s="905"/>
      <c r="F811" s="841"/>
      <c r="G811" s="841"/>
      <c r="H811" s="840">
        <f t="shared" si="24"/>
        <v>0</v>
      </c>
      <c r="I811" s="840">
        <f t="shared" si="25"/>
        <v>0</v>
      </c>
    </row>
    <row r="812" spans="1:9" s="302" customFormat="1" hidden="1">
      <c r="A812" s="1071"/>
      <c r="B812" s="475"/>
      <c r="C812" s="905"/>
      <c r="D812" s="905"/>
      <c r="E812" s="905"/>
      <c r="F812" s="841"/>
      <c r="G812" s="841"/>
      <c r="H812" s="840">
        <f t="shared" si="24"/>
        <v>0</v>
      </c>
      <c r="I812" s="840">
        <f t="shared" si="25"/>
        <v>0</v>
      </c>
    </row>
    <row r="813" spans="1:9" s="302" customFormat="1" hidden="1">
      <c r="A813" s="1071"/>
      <c r="B813" s="475"/>
      <c r="C813" s="905"/>
      <c r="D813" s="905"/>
      <c r="E813" s="905"/>
      <c r="F813" s="841"/>
      <c r="G813" s="841"/>
      <c r="H813" s="840">
        <f t="shared" si="24"/>
        <v>0</v>
      </c>
      <c r="I813" s="840">
        <f t="shared" si="25"/>
        <v>0</v>
      </c>
    </row>
    <row r="814" spans="1:9" s="302" customFormat="1" hidden="1">
      <c r="A814" s="1071"/>
      <c r="B814" s="475"/>
      <c r="C814" s="905"/>
      <c r="D814" s="905"/>
      <c r="E814" s="905"/>
      <c r="F814" s="841"/>
      <c r="G814" s="841"/>
      <c r="H814" s="840">
        <f t="shared" si="24"/>
        <v>0</v>
      </c>
      <c r="I814" s="840">
        <f t="shared" si="25"/>
        <v>0</v>
      </c>
    </row>
    <row r="815" spans="1:9" s="302" customFormat="1" ht="18" hidden="1" customHeight="1">
      <c r="A815" s="1071"/>
      <c r="B815" s="475"/>
      <c r="C815" s="916"/>
      <c r="D815" s="916"/>
      <c r="E815" s="905"/>
      <c r="F815" s="841"/>
      <c r="G815" s="841"/>
      <c r="H815" s="840">
        <f t="shared" si="24"/>
        <v>0</v>
      </c>
      <c r="I815" s="840">
        <f t="shared" si="25"/>
        <v>0</v>
      </c>
    </row>
    <row r="816" spans="1:9" s="302" customFormat="1" ht="18" hidden="1" customHeight="1">
      <c r="A816" s="1071"/>
      <c r="B816" s="475"/>
      <c r="C816" s="916"/>
      <c r="D816" s="916"/>
      <c r="E816" s="905"/>
      <c r="F816" s="841"/>
      <c r="G816" s="841"/>
      <c r="H816" s="840">
        <f t="shared" si="24"/>
        <v>0</v>
      </c>
      <c r="I816" s="840">
        <f t="shared" si="25"/>
        <v>0</v>
      </c>
    </row>
    <row r="817" spans="1:9" s="302" customFormat="1" ht="18" hidden="1" customHeight="1">
      <c r="A817" s="1071"/>
      <c r="B817" s="475"/>
      <c r="C817" s="916"/>
      <c r="D817" s="916"/>
      <c r="E817" s="905"/>
      <c r="F817" s="841"/>
      <c r="G817" s="841"/>
      <c r="H817" s="840">
        <f t="shared" si="24"/>
        <v>0</v>
      </c>
      <c r="I817" s="840">
        <f t="shared" si="25"/>
        <v>0</v>
      </c>
    </row>
    <row r="818" spans="1:9" s="302" customFormat="1" ht="18" hidden="1" customHeight="1">
      <c r="A818" s="1071"/>
      <c r="B818" s="864"/>
      <c r="C818" s="917"/>
      <c r="D818" s="917"/>
      <c r="E818" s="918"/>
      <c r="F818" s="841"/>
      <c r="G818" s="841"/>
      <c r="H818" s="840">
        <f t="shared" si="24"/>
        <v>0</v>
      </c>
      <c r="I818" s="840">
        <f t="shared" si="25"/>
        <v>0</v>
      </c>
    </row>
    <row r="819" spans="1:9">
      <c r="A819" s="1081"/>
      <c r="B819" s="461" t="s">
        <v>253</v>
      </c>
      <c r="C819" s="919">
        <f>SUM(C766:C818)</f>
        <v>284489</v>
      </c>
      <c r="D819" s="919">
        <f>SUM(D766:D818)</f>
        <v>217489</v>
      </c>
      <c r="E819" s="919">
        <f>SUM(E766:E818)</f>
        <v>67000</v>
      </c>
      <c r="F819" s="850">
        <f>SUM(F766:F772)</f>
        <v>0</v>
      </c>
      <c r="G819" s="851">
        <f>SUM(G766:G772)</f>
        <v>0</v>
      </c>
      <c r="H819" s="840">
        <f t="shared" si="24"/>
        <v>0</v>
      </c>
      <c r="I819" s="840">
        <f t="shared" si="25"/>
        <v>568978</v>
      </c>
    </row>
    <row r="820" spans="1:9" ht="75">
      <c r="A820" s="1081" t="s">
        <v>311</v>
      </c>
      <c r="B820" s="887" t="s">
        <v>952</v>
      </c>
      <c r="C820" s="530">
        <v>17100</v>
      </c>
      <c r="D820" s="530">
        <v>17100</v>
      </c>
      <c r="E820" s="905"/>
      <c r="F820" s="854"/>
      <c r="G820" s="854"/>
      <c r="H820" s="840">
        <f t="shared" si="24"/>
        <v>0</v>
      </c>
      <c r="I820" s="840">
        <f t="shared" si="25"/>
        <v>34200</v>
      </c>
    </row>
    <row r="821" spans="1:9" ht="75">
      <c r="A821" s="1081"/>
      <c r="B821" s="475" t="s">
        <v>1083</v>
      </c>
      <c r="C821" s="905">
        <v>250000</v>
      </c>
      <c r="D821" s="905">
        <v>250000</v>
      </c>
      <c r="E821" s="905"/>
      <c r="F821" s="841"/>
      <c r="G821" s="841"/>
      <c r="H821" s="840">
        <f t="shared" si="24"/>
        <v>0</v>
      </c>
      <c r="I821" s="840">
        <f t="shared" si="25"/>
        <v>500000</v>
      </c>
    </row>
    <row r="822" spans="1:9" ht="56.25">
      <c r="A822" s="1081"/>
      <c r="B822" s="535" t="s">
        <v>1081</v>
      </c>
      <c r="C822" s="905">
        <v>50000</v>
      </c>
      <c r="D822" s="905">
        <v>50000</v>
      </c>
      <c r="E822" s="905"/>
      <c r="F822" s="841"/>
      <c r="G822" s="841"/>
      <c r="H822" s="840">
        <f t="shared" si="24"/>
        <v>0</v>
      </c>
      <c r="I822" s="840">
        <f t="shared" si="25"/>
        <v>100000</v>
      </c>
    </row>
    <row r="823" spans="1:9" ht="93.75">
      <c r="A823" s="1081"/>
      <c r="B823" s="535" t="s">
        <v>1082</v>
      </c>
      <c r="C823" s="905">
        <v>50000</v>
      </c>
      <c r="D823" s="905">
        <v>50000</v>
      </c>
      <c r="E823" s="905"/>
      <c r="F823" s="841"/>
      <c r="G823" s="841"/>
      <c r="H823" s="840">
        <f t="shared" si="24"/>
        <v>0</v>
      </c>
      <c r="I823" s="840">
        <f t="shared" si="25"/>
        <v>100000</v>
      </c>
    </row>
    <row r="824" spans="1:9" ht="56.25">
      <c r="A824" s="1081"/>
      <c r="B824" s="475" t="s">
        <v>1125</v>
      </c>
      <c r="C824" s="905">
        <v>700000</v>
      </c>
      <c r="D824" s="905"/>
      <c r="E824" s="905">
        <v>700000</v>
      </c>
      <c r="F824" s="841"/>
      <c r="G824" s="841"/>
      <c r="H824" s="840">
        <f t="shared" si="24"/>
        <v>0</v>
      </c>
      <c r="I824" s="840">
        <f t="shared" si="25"/>
        <v>1400000</v>
      </c>
    </row>
    <row r="825" spans="1:9" ht="93.75">
      <c r="A825" s="1081"/>
      <c r="B825" s="475" t="s">
        <v>1247</v>
      </c>
      <c r="C825" s="905">
        <v>152304</v>
      </c>
      <c r="D825" s="905">
        <v>152304</v>
      </c>
      <c r="E825" s="932"/>
      <c r="F825" s="841"/>
      <c r="G825" s="841"/>
      <c r="H825" s="840">
        <f t="shared" si="24"/>
        <v>0</v>
      </c>
      <c r="I825" s="840">
        <f t="shared" si="25"/>
        <v>304608</v>
      </c>
    </row>
    <row r="826" spans="1:9" ht="93.75">
      <c r="A826" s="1081"/>
      <c r="B826" s="475" t="s">
        <v>1248</v>
      </c>
      <c r="C826" s="530">
        <v>86774</v>
      </c>
      <c r="D826" s="530">
        <v>86774</v>
      </c>
      <c r="E826" s="905"/>
      <c r="F826" s="841"/>
      <c r="G826" s="841"/>
      <c r="H826" s="840">
        <f t="shared" si="24"/>
        <v>0</v>
      </c>
      <c r="I826" s="840">
        <f t="shared" si="25"/>
        <v>173548</v>
      </c>
    </row>
    <row r="827" spans="1:9" s="302" customFormat="1" ht="56.25">
      <c r="A827" s="1068"/>
      <c r="B827" s="475" t="s">
        <v>1249</v>
      </c>
      <c r="C827" s="530">
        <v>7200</v>
      </c>
      <c r="D827" s="530">
        <v>7200</v>
      </c>
      <c r="E827" s="905"/>
      <c r="F827" s="841"/>
      <c r="G827" s="841"/>
      <c r="H827" s="840">
        <f t="shared" si="24"/>
        <v>0</v>
      </c>
      <c r="I827" s="840">
        <f t="shared" si="25"/>
        <v>14400</v>
      </c>
    </row>
    <row r="828" spans="1:9" s="302" customFormat="1" ht="37.5">
      <c r="A828" s="1068"/>
      <c r="B828" s="475" t="s">
        <v>1250</v>
      </c>
      <c r="C828" s="905">
        <v>15000</v>
      </c>
      <c r="D828" s="932">
        <v>15000</v>
      </c>
      <c r="E828" s="932"/>
      <c r="F828" s="841"/>
      <c r="G828" s="841"/>
      <c r="H828" s="840">
        <f t="shared" si="24"/>
        <v>0</v>
      </c>
      <c r="I828" s="840">
        <f t="shared" si="25"/>
        <v>30000</v>
      </c>
    </row>
    <row r="829" spans="1:9" s="302" customFormat="1" ht="56.25">
      <c r="A829" s="1068"/>
      <c r="B829" s="475" t="s">
        <v>1251</v>
      </c>
      <c r="C829" s="530">
        <v>5000</v>
      </c>
      <c r="D829" s="530"/>
      <c r="E829" s="905">
        <v>5000</v>
      </c>
      <c r="F829" s="841"/>
      <c r="G829" s="841"/>
      <c r="H829" s="840">
        <f t="shared" si="24"/>
        <v>0</v>
      </c>
      <c r="I829" s="840">
        <f t="shared" si="25"/>
        <v>10000</v>
      </c>
    </row>
    <row r="830" spans="1:9" s="302" customFormat="1" ht="37.5">
      <c r="A830" s="1068"/>
      <c r="B830" s="475" t="s">
        <v>1252</v>
      </c>
      <c r="C830" s="530">
        <v>15200</v>
      </c>
      <c r="D830" s="530">
        <v>15200</v>
      </c>
      <c r="E830" s="905"/>
      <c r="F830" s="841"/>
      <c r="G830" s="841"/>
      <c r="H830" s="840">
        <f t="shared" si="24"/>
        <v>0</v>
      </c>
      <c r="I830" s="840">
        <f t="shared" si="25"/>
        <v>30400</v>
      </c>
    </row>
    <row r="831" spans="1:9" s="302" customFormat="1" ht="93.75">
      <c r="A831" s="1068"/>
      <c r="B831" s="475" t="s">
        <v>1253</v>
      </c>
      <c r="C831" s="530">
        <v>10000</v>
      </c>
      <c r="D831" s="530"/>
      <c r="E831" s="905">
        <v>10000</v>
      </c>
      <c r="F831" s="841"/>
      <c r="G831" s="841"/>
      <c r="H831" s="840">
        <f t="shared" si="24"/>
        <v>0</v>
      </c>
      <c r="I831" s="840">
        <f t="shared" si="25"/>
        <v>20000</v>
      </c>
    </row>
    <row r="832" spans="1:9" s="302" customFormat="1" ht="75">
      <c r="A832" s="1068"/>
      <c r="B832" s="475" t="s">
        <v>1254</v>
      </c>
      <c r="C832" s="530">
        <v>5000</v>
      </c>
      <c r="D832" s="530">
        <v>5000</v>
      </c>
      <c r="E832" s="905"/>
      <c r="F832" s="841"/>
      <c r="G832" s="841"/>
      <c r="H832" s="840">
        <f t="shared" si="24"/>
        <v>0</v>
      </c>
      <c r="I832" s="840">
        <f t="shared" si="25"/>
        <v>10000</v>
      </c>
    </row>
    <row r="833" spans="1:9" s="302" customFormat="1" ht="56.25">
      <c r="A833" s="1068"/>
      <c r="B833" s="475" t="s">
        <v>1889</v>
      </c>
      <c r="C833" s="911">
        <v>300000</v>
      </c>
      <c r="D833" s="911"/>
      <c r="E833" s="911">
        <v>300000</v>
      </c>
      <c r="F833" s="841"/>
      <c r="G833" s="841"/>
      <c r="H833" s="840">
        <f t="shared" si="24"/>
        <v>0</v>
      </c>
      <c r="I833" s="840">
        <f t="shared" si="25"/>
        <v>600000</v>
      </c>
    </row>
    <row r="834" spans="1:9" s="302" customFormat="1" ht="37.5">
      <c r="A834" s="1068"/>
      <c r="B834" s="475" t="s">
        <v>1890</v>
      </c>
      <c r="C834" s="911">
        <v>100000</v>
      </c>
      <c r="D834" s="911"/>
      <c r="E834" s="911">
        <v>100000</v>
      </c>
      <c r="F834" s="841"/>
      <c r="G834" s="841"/>
      <c r="H834" s="840">
        <f t="shared" si="24"/>
        <v>0</v>
      </c>
      <c r="I834" s="840">
        <f t="shared" si="25"/>
        <v>200000</v>
      </c>
    </row>
    <row r="835" spans="1:9" s="302" customFormat="1" ht="75">
      <c r="A835" s="1068"/>
      <c r="B835" s="475" t="s">
        <v>1891</v>
      </c>
      <c r="C835" s="911">
        <v>250000</v>
      </c>
      <c r="D835" s="911">
        <v>250000</v>
      </c>
      <c r="E835" s="911"/>
      <c r="F835" s="841"/>
      <c r="G835" s="841"/>
      <c r="H835" s="840">
        <f t="shared" si="24"/>
        <v>0</v>
      </c>
      <c r="I835" s="840">
        <f t="shared" si="25"/>
        <v>500000</v>
      </c>
    </row>
    <row r="836" spans="1:9" s="302" customFormat="1" ht="93.75">
      <c r="A836" s="1068"/>
      <c r="B836" s="475" t="s">
        <v>2338</v>
      </c>
      <c r="C836" s="908">
        <v>195605</v>
      </c>
      <c r="D836" s="908"/>
      <c r="E836" s="905">
        <v>195605</v>
      </c>
      <c r="F836" s="841"/>
      <c r="G836" s="841"/>
      <c r="H836" s="840">
        <f t="shared" si="24"/>
        <v>0</v>
      </c>
      <c r="I836" s="840">
        <f t="shared" si="25"/>
        <v>391210</v>
      </c>
    </row>
    <row r="837" spans="1:9" s="302" customFormat="1" ht="75">
      <c r="A837" s="1068"/>
      <c r="B837" s="535" t="s">
        <v>2266</v>
      </c>
      <c r="C837" s="908">
        <v>40000</v>
      </c>
      <c r="D837" s="908">
        <v>40000</v>
      </c>
      <c r="E837" s="905"/>
      <c r="F837" s="841"/>
      <c r="G837" s="841"/>
      <c r="H837" s="840">
        <f t="shared" si="24"/>
        <v>0</v>
      </c>
      <c r="I837" s="840">
        <f t="shared" si="25"/>
        <v>80000</v>
      </c>
    </row>
    <row r="838" spans="1:9" s="302" customFormat="1" ht="37.5">
      <c r="A838" s="1068"/>
      <c r="B838" s="475" t="s">
        <v>2569</v>
      </c>
      <c r="C838" s="905">
        <v>120000</v>
      </c>
      <c r="D838" s="905">
        <v>120000</v>
      </c>
      <c r="E838" s="905"/>
      <c r="F838" s="841"/>
      <c r="G838" s="841"/>
      <c r="H838" s="840">
        <f t="shared" si="24"/>
        <v>0</v>
      </c>
      <c r="I838" s="840">
        <f t="shared" si="25"/>
        <v>240000</v>
      </c>
    </row>
    <row r="839" spans="1:9" s="302" customFormat="1" ht="37.5">
      <c r="A839" s="1068"/>
      <c r="B839" s="475" t="s">
        <v>2570</v>
      </c>
      <c r="C839" s="905">
        <v>198000</v>
      </c>
      <c r="D839" s="905">
        <v>198000</v>
      </c>
      <c r="E839" s="905"/>
      <c r="F839" s="841"/>
      <c r="G839" s="841"/>
      <c r="H839" s="840">
        <f t="shared" si="24"/>
        <v>0</v>
      </c>
      <c r="I839" s="840">
        <f t="shared" si="25"/>
        <v>396000</v>
      </c>
    </row>
    <row r="840" spans="1:9" s="302" customFormat="1" ht="56.25">
      <c r="A840" s="1068"/>
      <c r="B840" s="475" t="s">
        <v>2571</v>
      </c>
      <c r="C840" s="905">
        <v>15000</v>
      </c>
      <c r="D840" s="905">
        <v>8000</v>
      </c>
      <c r="E840" s="905">
        <v>7000</v>
      </c>
      <c r="F840" s="841"/>
      <c r="G840" s="841"/>
      <c r="H840" s="840">
        <f t="shared" si="24"/>
        <v>0</v>
      </c>
      <c r="I840" s="840">
        <f t="shared" si="25"/>
        <v>30000</v>
      </c>
    </row>
    <row r="841" spans="1:9" s="302" customFormat="1" ht="75">
      <c r="A841" s="1068"/>
      <c r="B841" s="475" t="s">
        <v>2572</v>
      </c>
      <c r="C841" s="905">
        <v>10000</v>
      </c>
      <c r="D841" s="905">
        <v>10000</v>
      </c>
      <c r="E841" s="905"/>
      <c r="F841" s="841"/>
      <c r="G841" s="841"/>
      <c r="H841" s="840">
        <f t="shared" ref="H841:H904" si="26">E841+D841-C841</f>
        <v>0</v>
      </c>
      <c r="I841" s="840">
        <f t="shared" ref="I841:I904" si="27">SUM(C841:E841)</f>
        <v>20000</v>
      </c>
    </row>
    <row r="842" spans="1:9" s="302" customFormat="1" ht="56.25">
      <c r="A842" s="1068"/>
      <c r="B842" s="475" t="s">
        <v>2731</v>
      </c>
      <c r="C842" s="915">
        <v>50000</v>
      </c>
      <c r="D842" s="915">
        <v>50000</v>
      </c>
      <c r="E842" s="914"/>
      <c r="F842" s="841"/>
      <c r="G842" s="841"/>
      <c r="H842" s="840">
        <f t="shared" si="26"/>
        <v>0</v>
      </c>
      <c r="I842" s="840">
        <f t="shared" si="27"/>
        <v>100000</v>
      </c>
    </row>
    <row r="843" spans="1:9" s="302" customFormat="1" ht="131.25">
      <c r="A843" s="1068"/>
      <c r="B843" s="475" t="s">
        <v>2732</v>
      </c>
      <c r="C843" s="915">
        <v>15000</v>
      </c>
      <c r="D843" s="915">
        <v>15000</v>
      </c>
      <c r="E843" s="914"/>
      <c r="F843" s="841"/>
      <c r="G843" s="841"/>
      <c r="H843" s="840">
        <f t="shared" si="26"/>
        <v>0</v>
      </c>
      <c r="I843" s="840">
        <f t="shared" si="27"/>
        <v>30000</v>
      </c>
    </row>
    <row r="844" spans="1:9" s="302" customFormat="1" ht="187.5">
      <c r="A844" s="1068"/>
      <c r="B844" s="475" t="s">
        <v>2733</v>
      </c>
      <c r="C844" s="915">
        <v>104441</v>
      </c>
      <c r="D844" s="915"/>
      <c r="E844" s="914">
        <v>104441</v>
      </c>
      <c r="F844" s="841"/>
      <c r="G844" s="841"/>
      <c r="H844" s="840">
        <f t="shared" si="26"/>
        <v>0</v>
      </c>
      <c r="I844" s="840">
        <f t="shared" si="27"/>
        <v>208882</v>
      </c>
    </row>
    <row r="845" spans="1:9" s="302" customFormat="1" ht="56.25">
      <c r="A845" s="1068"/>
      <c r="B845" s="475" t="s">
        <v>2734</v>
      </c>
      <c r="C845" s="915">
        <v>40000</v>
      </c>
      <c r="D845" s="915"/>
      <c r="E845" s="914">
        <v>40000</v>
      </c>
      <c r="F845" s="841"/>
      <c r="G845" s="841"/>
      <c r="H845" s="840">
        <f t="shared" si="26"/>
        <v>0</v>
      </c>
      <c r="I845" s="840">
        <f t="shared" si="27"/>
        <v>80000</v>
      </c>
    </row>
    <row r="846" spans="1:9" s="302" customFormat="1" ht="37.5">
      <c r="A846" s="1071"/>
      <c r="B846" s="475" t="s">
        <v>2735</v>
      </c>
      <c r="C846" s="915">
        <v>10000</v>
      </c>
      <c r="D846" s="915"/>
      <c r="E846" s="914">
        <v>10000</v>
      </c>
      <c r="F846" s="841"/>
      <c r="G846" s="841"/>
      <c r="H846" s="840">
        <f t="shared" si="26"/>
        <v>0</v>
      </c>
      <c r="I846" s="840">
        <f t="shared" si="27"/>
        <v>20000</v>
      </c>
    </row>
    <row r="847" spans="1:9" s="302" customFormat="1" ht="75">
      <c r="A847" s="1071"/>
      <c r="B847" s="535" t="s">
        <v>2736</v>
      </c>
      <c r="C847" s="915">
        <v>5000</v>
      </c>
      <c r="D847" s="915">
        <v>5000</v>
      </c>
      <c r="E847" s="914"/>
      <c r="F847" s="841"/>
      <c r="G847" s="841"/>
      <c r="H847" s="840">
        <f t="shared" si="26"/>
        <v>0</v>
      </c>
      <c r="I847" s="840">
        <f t="shared" si="27"/>
        <v>10000</v>
      </c>
    </row>
    <row r="848" spans="1:9" s="302" customFormat="1" hidden="1">
      <c r="A848" s="1071"/>
      <c r="B848" s="475"/>
      <c r="C848" s="916"/>
      <c r="D848" s="916"/>
      <c r="E848" s="905"/>
      <c r="F848" s="841"/>
      <c r="G848" s="841"/>
      <c r="H848" s="840">
        <f t="shared" si="26"/>
        <v>0</v>
      </c>
      <c r="I848" s="840">
        <f t="shared" si="27"/>
        <v>0</v>
      </c>
    </row>
    <row r="849" spans="1:9" s="302" customFormat="1" hidden="1">
      <c r="A849" s="1071"/>
      <c r="B849" s="475"/>
      <c r="C849" s="916"/>
      <c r="D849" s="916"/>
      <c r="E849" s="905"/>
      <c r="F849" s="841"/>
      <c r="G849" s="841"/>
      <c r="H849" s="840">
        <f t="shared" si="26"/>
        <v>0</v>
      </c>
      <c r="I849" s="840">
        <f t="shared" si="27"/>
        <v>0</v>
      </c>
    </row>
    <row r="850" spans="1:9" s="302" customFormat="1" hidden="1">
      <c r="A850" s="1071"/>
      <c r="B850" s="475"/>
      <c r="C850" s="916"/>
      <c r="D850" s="916"/>
      <c r="E850" s="905"/>
      <c r="F850" s="841"/>
      <c r="G850" s="841"/>
      <c r="H850" s="840">
        <f t="shared" si="26"/>
        <v>0</v>
      </c>
      <c r="I850" s="840">
        <f t="shared" si="27"/>
        <v>0</v>
      </c>
    </row>
    <row r="851" spans="1:9" s="302" customFormat="1" hidden="1">
      <c r="A851" s="1071"/>
      <c r="B851" s="475"/>
      <c r="C851" s="905"/>
      <c r="D851" s="905"/>
      <c r="E851" s="905"/>
      <c r="F851" s="841"/>
      <c r="G851" s="841"/>
      <c r="H851" s="840">
        <f t="shared" si="26"/>
        <v>0</v>
      </c>
      <c r="I851" s="840">
        <f t="shared" si="27"/>
        <v>0</v>
      </c>
    </row>
    <row r="852" spans="1:9" s="302" customFormat="1" hidden="1">
      <c r="A852" s="1071"/>
      <c r="B852" s="475"/>
      <c r="C852" s="905"/>
      <c r="D852" s="905"/>
      <c r="E852" s="905"/>
      <c r="F852" s="841"/>
      <c r="G852" s="841"/>
      <c r="H852" s="840">
        <f t="shared" si="26"/>
        <v>0</v>
      </c>
      <c r="I852" s="840">
        <f t="shared" si="27"/>
        <v>0</v>
      </c>
    </row>
    <row r="853" spans="1:9" s="302" customFormat="1" hidden="1">
      <c r="A853" s="1071"/>
      <c r="B853" s="475"/>
      <c r="C853" s="905"/>
      <c r="D853" s="905"/>
      <c r="E853" s="905"/>
      <c r="F853" s="841"/>
      <c r="G853" s="841"/>
      <c r="H853" s="840">
        <f t="shared" si="26"/>
        <v>0</v>
      </c>
      <c r="I853" s="840">
        <f t="shared" si="27"/>
        <v>0</v>
      </c>
    </row>
    <row r="854" spans="1:9" s="302" customFormat="1" hidden="1">
      <c r="A854" s="1071"/>
      <c r="B854" s="475"/>
      <c r="C854" s="905"/>
      <c r="D854" s="905"/>
      <c r="E854" s="905"/>
      <c r="F854" s="841"/>
      <c r="G854" s="841"/>
      <c r="H854" s="840">
        <f t="shared" si="26"/>
        <v>0</v>
      </c>
      <c r="I854" s="840">
        <f t="shared" si="27"/>
        <v>0</v>
      </c>
    </row>
    <row r="855" spans="1:9" s="302" customFormat="1" hidden="1">
      <c r="A855" s="1071"/>
      <c r="B855" s="475"/>
      <c r="C855" s="905"/>
      <c r="D855" s="905"/>
      <c r="E855" s="905"/>
      <c r="F855" s="841"/>
      <c r="G855" s="841"/>
      <c r="H855" s="840">
        <f t="shared" si="26"/>
        <v>0</v>
      </c>
      <c r="I855" s="840">
        <f t="shared" si="27"/>
        <v>0</v>
      </c>
    </row>
    <row r="856" spans="1:9" s="302" customFormat="1" hidden="1">
      <c r="A856" s="1071"/>
      <c r="B856" s="475"/>
      <c r="C856" s="905"/>
      <c r="D856" s="905"/>
      <c r="E856" s="905"/>
      <c r="F856" s="841"/>
      <c r="G856" s="841"/>
      <c r="H856" s="840">
        <f t="shared" si="26"/>
        <v>0</v>
      </c>
      <c r="I856" s="840">
        <f t="shared" si="27"/>
        <v>0</v>
      </c>
    </row>
    <row r="857" spans="1:9" s="302" customFormat="1" hidden="1">
      <c r="A857" s="1071"/>
      <c r="B857" s="475"/>
      <c r="C857" s="905"/>
      <c r="D857" s="905"/>
      <c r="E857" s="905"/>
      <c r="F857" s="841"/>
      <c r="G857" s="841"/>
      <c r="H857" s="840">
        <f t="shared" si="26"/>
        <v>0</v>
      </c>
      <c r="I857" s="840">
        <f t="shared" si="27"/>
        <v>0</v>
      </c>
    </row>
    <row r="858" spans="1:9" s="302" customFormat="1" hidden="1">
      <c r="A858" s="1071"/>
      <c r="B858" s="475"/>
      <c r="C858" s="905"/>
      <c r="D858" s="905"/>
      <c r="E858" s="905"/>
      <c r="F858" s="841"/>
      <c r="G858" s="841"/>
      <c r="H858" s="840">
        <f t="shared" si="26"/>
        <v>0</v>
      </c>
      <c r="I858" s="840">
        <f t="shared" si="27"/>
        <v>0</v>
      </c>
    </row>
    <row r="859" spans="1:9" s="302" customFormat="1" hidden="1">
      <c r="A859" s="1071"/>
      <c r="B859" s="475"/>
      <c r="C859" s="916"/>
      <c r="D859" s="916"/>
      <c r="E859" s="905"/>
      <c r="F859" s="841"/>
      <c r="G859" s="841"/>
      <c r="H859" s="840">
        <f t="shared" si="26"/>
        <v>0</v>
      </c>
      <c r="I859" s="840">
        <f t="shared" si="27"/>
        <v>0</v>
      </c>
    </row>
    <row r="860" spans="1:9" s="302" customFormat="1" hidden="1">
      <c r="A860" s="1071"/>
      <c r="B860" s="475"/>
      <c r="C860" s="916"/>
      <c r="D860" s="916"/>
      <c r="E860" s="905"/>
      <c r="F860" s="841"/>
      <c r="G860" s="841"/>
      <c r="H860" s="840">
        <f t="shared" si="26"/>
        <v>0</v>
      </c>
      <c r="I860" s="840">
        <f t="shared" si="27"/>
        <v>0</v>
      </c>
    </row>
    <row r="861" spans="1:9" s="302" customFormat="1" hidden="1">
      <c r="A861" s="1071"/>
      <c r="B861" s="475"/>
      <c r="C861" s="916"/>
      <c r="D861" s="916"/>
      <c r="E861" s="905"/>
      <c r="F861" s="841"/>
      <c r="G861" s="841"/>
      <c r="H861" s="840">
        <f t="shared" si="26"/>
        <v>0</v>
      </c>
      <c r="I861" s="840">
        <f t="shared" si="27"/>
        <v>0</v>
      </c>
    </row>
    <row r="862" spans="1:9" s="302" customFormat="1" hidden="1">
      <c r="A862" s="1071"/>
      <c r="B862" s="475"/>
      <c r="C862" s="905"/>
      <c r="D862" s="473"/>
      <c r="E862" s="914"/>
      <c r="F862" s="841"/>
      <c r="G862" s="841"/>
      <c r="H862" s="840">
        <f t="shared" si="26"/>
        <v>0</v>
      </c>
      <c r="I862" s="840">
        <f t="shared" si="27"/>
        <v>0</v>
      </c>
    </row>
    <row r="863" spans="1:9" s="302" customFormat="1" hidden="1">
      <c r="A863" s="1071"/>
      <c r="B863" s="475"/>
      <c r="C863" s="912"/>
      <c r="D863" s="473"/>
      <c r="E863" s="914"/>
      <c r="F863" s="841"/>
      <c r="G863" s="841"/>
      <c r="H863" s="840">
        <f t="shared" si="26"/>
        <v>0</v>
      </c>
      <c r="I863" s="840">
        <f t="shared" si="27"/>
        <v>0</v>
      </c>
    </row>
    <row r="864" spans="1:9" s="302" customFormat="1" hidden="1">
      <c r="A864" s="1071"/>
      <c r="B864" s="475"/>
      <c r="C864" s="912"/>
      <c r="D864" s="473"/>
      <c r="E864" s="914"/>
      <c r="F864" s="841"/>
      <c r="G864" s="841"/>
      <c r="H864" s="840">
        <f t="shared" si="26"/>
        <v>0</v>
      </c>
      <c r="I864" s="840">
        <f t="shared" si="27"/>
        <v>0</v>
      </c>
    </row>
    <row r="865" spans="1:9" s="302" customFormat="1" hidden="1">
      <c r="A865" s="1071"/>
      <c r="B865" s="475"/>
      <c r="C865" s="905"/>
      <c r="D865" s="905"/>
      <c r="E865" s="905"/>
      <c r="F865" s="841"/>
      <c r="G865" s="841"/>
      <c r="H865" s="840">
        <f t="shared" si="26"/>
        <v>0</v>
      </c>
      <c r="I865" s="840">
        <f t="shared" si="27"/>
        <v>0</v>
      </c>
    </row>
    <row r="866" spans="1:9" s="302" customFormat="1" hidden="1">
      <c r="A866" s="1071"/>
      <c r="B866" s="475"/>
      <c r="C866" s="905"/>
      <c r="D866" s="905"/>
      <c r="E866" s="905"/>
      <c r="F866" s="841"/>
      <c r="G866" s="841"/>
      <c r="H866" s="840">
        <f t="shared" si="26"/>
        <v>0</v>
      </c>
      <c r="I866" s="840">
        <f t="shared" si="27"/>
        <v>0</v>
      </c>
    </row>
    <row r="867" spans="1:9" s="302" customFormat="1" hidden="1">
      <c r="A867" s="1071"/>
      <c r="B867" s="475"/>
      <c r="C867" s="905"/>
      <c r="D867" s="905"/>
      <c r="E867" s="905"/>
      <c r="F867" s="841"/>
      <c r="G867" s="841"/>
      <c r="H867" s="840">
        <f t="shared" si="26"/>
        <v>0</v>
      </c>
      <c r="I867" s="840">
        <f t="shared" si="27"/>
        <v>0</v>
      </c>
    </row>
    <row r="868" spans="1:9" s="302" customFormat="1" hidden="1">
      <c r="A868" s="1071"/>
      <c r="B868" s="475"/>
      <c r="C868" s="905"/>
      <c r="D868" s="905"/>
      <c r="E868" s="905"/>
      <c r="F868" s="841"/>
      <c r="G868" s="841"/>
      <c r="H868" s="840">
        <f t="shared" si="26"/>
        <v>0</v>
      </c>
      <c r="I868" s="840">
        <f t="shared" si="27"/>
        <v>0</v>
      </c>
    </row>
    <row r="869" spans="1:9" s="302" customFormat="1" hidden="1">
      <c r="A869" s="1071"/>
      <c r="B869" s="475"/>
      <c r="C869" s="905"/>
      <c r="D869" s="905"/>
      <c r="E869" s="905"/>
      <c r="F869" s="841"/>
      <c r="G869" s="841"/>
      <c r="H869" s="840">
        <f t="shared" si="26"/>
        <v>0</v>
      </c>
      <c r="I869" s="840">
        <f t="shared" si="27"/>
        <v>0</v>
      </c>
    </row>
    <row r="870" spans="1:9" s="302" customFormat="1" hidden="1">
      <c r="A870" s="1071"/>
      <c r="B870" s="475"/>
      <c r="C870" s="905"/>
      <c r="D870" s="905"/>
      <c r="E870" s="905"/>
      <c r="F870" s="841"/>
      <c r="G870" s="841"/>
      <c r="H870" s="840">
        <f t="shared" si="26"/>
        <v>0</v>
      </c>
      <c r="I870" s="840">
        <f t="shared" si="27"/>
        <v>0</v>
      </c>
    </row>
    <row r="871" spans="1:9" s="302" customFormat="1" hidden="1">
      <c r="A871" s="1071"/>
      <c r="B871" s="475"/>
      <c r="C871" s="905"/>
      <c r="D871" s="905"/>
      <c r="E871" s="905"/>
      <c r="F871" s="841"/>
      <c r="G871" s="841"/>
      <c r="H871" s="840">
        <f t="shared" si="26"/>
        <v>0</v>
      </c>
      <c r="I871" s="840">
        <f t="shared" si="27"/>
        <v>0</v>
      </c>
    </row>
    <row r="872" spans="1:9" s="302" customFormat="1" hidden="1">
      <c r="A872" s="1071"/>
      <c r="B872" s="475"/>
      <c r="C872" s="905"/>
      <c r="D872" s="905"/>
      <c r="E872" s="905"/>
      <c r="F872" s="841"/>
      <c r="G872" s="841"/>
      <c r="H872" s="840">
        <f t="shared" si="26"/>
        <v>0</v>
      </c>
      <c r="I872" s="840">
        <f t="shared" si="27"/>
        <v>0</v>
      </c>
    </row>
    <row r="873" spans="1:9" s="302" customFormat="1" hidden="1">
      <c r="A873" s="1071"/>
      <c r="B873" s="475"/>
      <c r="C873" s="905"/>
      <c r="D873" s="905"/>
      <c r="E873" s="905"/>
      <c r="F873" s="841"/>
      <c r="G873" s="841"/>
      <c r="H873" s="840">
        <f t="shared" si="26"/>
        <v>0</v>
      </c>
      <c r="I873" s="840">
        <f t="shared" si="27"/>
        <v>0</v>
      </c>
    </row>
    <row r="874" spans="1:9" s="302" customFormat="1" hidden="1">
      <c r="A874" s="1071"/>
      <c r="B874" s="475"/>
      <c r="C874" s="905"/>
      <c r="D874" s="905"/>
      <c r="E874" s="905"/>
      <c r="F874" s="841"/>
      <c r="G874" s="841"/>
      <c r="H874" s="840">
        <f t="shared" si="26"/>
        <v>0</v>
      </c>
      <c r="I874" s="840">
        <f t="shared" si="27"/>
        <v>0</v>
      </c>
    </row>
    <row r="875" spans="1:9" s="302" customFormat="1" hidden="1">
      <c r="A875" s="1071"/>
      <c r="B875" s="475"/>
      <c r="C875" s="905"/>
      <c r="D875" s="905"/>
      <c r="E875" s="905"/>
      <c r="F875" s="841"/>
      <c r="G875" s="841"/>
      <c r="H875" s="840">
        <f t="shared" si="26"/>
        <v>0</v>
      </c>
      <c r="I875" s="840">
        <f t="shared" si="27"/>
        <v>0</v>
      </c>
    </row>
    <row r="876" spans="1:9" s="302" customFormat="1" ht="18" hidden="1" customHeight="1">
      <c r="A876" s="1071"/>
      <c r="B876" s="475"/>
      <c r="C876" s="905"/>
      <c r="D876" s="905"/>
      <c r="E876" s="905"/>
      <c r="F876" s="841"/>
      <c r="G876" s="841"/>
      <c r="H876" s="840">
        <f t="shared" si="26"/>
        <v>0</v>
      </c>
      <c r="I876" s="840">
        <f t="shared" si="27"/>
        <v>0</v>
      </c>
    </row>
    <row r="877" spans="1:9" s="302" customFormat="1" ht="18" hidden="1" customHeight="1">
      <c r="A877" s="1071"/>
      <c r="B877" s="475"/>
      <c r="C877" s="916"/>
      <c r="D877" s="904"/>
      <c r="E877" s="904"/>
      <c r="F877" s="841"/>
      <c r="G877" s="841"/>
      <c r="H877" s="840">
        <f t="shared" si="26"/>
        <v>0</v>
      </c>
      <c r="I877" s="840">
        <f t="shared" si="27"/>
        <v>0</v>
      </c>
    </row>
    <row r="878" spans="1:9" s="302" customFormat="1" ht="18" hidden="1" customHeight="1">
      <c r="A878" s="1071"/>
      <c r="B878" s="475"/>
      <c r="C878" s="916"/>
      <c r="D878" s="904"/>
      <c r="E878" s="904"/>
      <c r="F878" s="841"/>
      <c r="G878" s="841"/>
      <c r="H878" s="840">
        <f t="shared" si="26"/>
        <v>0</v>
      </c>
      <c r="I878" s="840">
        <f t="shared" si="27"/>
        <v>0</v>
      </c>
    </row>
    <row r="879" spans="1:9" s="302" customFormat="1" ht="18" hidden="1" customHeight="1">
      <c r="A879" s="1071"/>
      <c r="B879" s="864"/>
      <c r="C879" s="917"/>
      <c r="D879" s="927"/>
      <c r="E879" s="927"/>
      <c r="F879" s="841"/>
      <c r="G879" s="841"/>
      <c r="H879" s="840">
        <f t="shared" si="26"/>
        <v>0</v>
      </c>
      <c r="I879" s="840">
        <f t="shared" si="27"/>
        <v>0</v>
      </c>
    </row>
    <row r="880" spans="1:9">
      <c r="A880" s="1081"/>
      <c r="B880" s="461" t="s">
        <v>253</v>
      </c>
      <c r="C880" s="919">
        <f>SUM(C820:C879)</f>
        <v>2816624</v>
      </c>
      <c r="D880" s="919">
        <f>SUM(D820:D879)</f>
        <v>1344578</v>
      </c>
      <c r="E880" s="919">
        <f>SUM(E820:E879)</f>
        <v>1472046</v>
      </c>
      <c r="F880" s="850">
        <f>SUM(F820:F834)</f>
        <v>0</v>
      </c>
      <c r="G880" s="851">
        <f>SUM(G820:G834)</f>
        <v>0</v>
      </c>
      <c r="H880" s="840">
        <f t="shared" si="26"/>
        <v>0</v>
      </c>
      <c r="I880" s="840">
        <f t="shared" si="27"/>
        <v>5633248</v>
      </c>
    </row>
    <row r="881" spans="1:9" ht="75">
      <c r="A881" s="1081" t="s">
        <v>312</v>
      </c>
      <c r="B881" s="887" t="s">
        <v>952</v>
      </c>
      <c r="C881" s="530">
        <v>692600</v>
      </c>
      <c r="D881" s="530">
        <v>692600</v>
      </c>
      <c r="E881" s="905"/>
      <c r="F881" s="841"/>
      <c r="G881" s="841"/>
      <c r="H881" s="840">
        <f t="shared" si="26"/>
        <v>0</v>
      </c>
      <c r="I881" s="840">
        <f t="shared" si="27"/>
        <v>1385200</v>
      </c>
    </row>
    <row r="882" spans="1:9" ht="37.5">
      <c r="A882" s="1081"/>
      <c r="B882" s="887" t="s">
        <v>1137</v>
      </c>
      <c r="C882" s="530">
        <v>54800</v>
      </c>
      <c r="D882" s="530">
        <v>54800</v>
      </c>
      <c r="E882" s="905"/>
      <c r="F882" s="841"/>
      <c r="G882" s="841"/>
      <c r="H882" s="840">
        <f t="shared" si="26"/>
        <v>0</v>
      </c>
      <c r="I882" s="840">
        <f t="shared" si="27"/>
        <v>109600</v>
      </c>
    </row>
    <row r="883" spans="1:9" s="302" customFormat="1" ht="56.25">
      <c r="A883" s="1068"/>
      <c r="B883" s="475" t="s">
        <v>1255</v>
      </c>
      <c r="C883" s="530">
        <v>39725</v>
      </c>
      <c r="D883" s="530">
        <v>39725</v>
      </c>
      <c r="E883" s="905"/>
      <c r="F883" s="841"/>
      <c r="G883" s="841"/>
      <c r="H883" s="840">
        <f t="shared" si="26"/>
        <v>0</v>
      </c>
      <c r="I883" s="840">
        <f t="shared" si="27"/>
        <v>79450</v>
      </c>
    </row>
    <row r="884" spans="1:9" s="302" customFormat="1" ht="56.25">
      <c r="A884" s="1068"/>
      <c r="B884" s="475" t="s">
        <v>1256</v>
      </c>
      <c r="C884" s="530">
        <v>161958</v>
      </c>
      <c r="D884" s="530">
        <v>12258</v>
      </c>
      <c r="E884" s="905">
        <v>149700</v>
      </c>
      <c r="F884" s="841"/>
      <c r="G884" s="841"/>
      <c r="H884" s="840">
        <f t="shared" si="26"/>
        <v>0</v>
      </c>
      <c r="I884" s="840">
        <f t="shared" si="27"/>
        <v>323916</v>
      </c>
    </row>
    <row r="885" spans="1:9" s="302" customFormat="1" ht="93.75">
      <c r="A885" s="1068"/>
      <c r="B885" s="475" t="s">
        <v>1257</v>
      </c>
      <c r="C885" s="530">
        <v>30700</v>
      </c>
      <c r="D885" s="530">
        <v>30700</v>
      </c>
      <c r="E885" s="905"/>
      <c r="F885" s="841"/>
      <c r="G885" s="841"/>
      <c r="H885" s="840">
        <f t="shared" si="26"/>
        <v>0</v>
      </c>
      <c r="I885" s="840">
        <f t="shared" si="27"/>
        <v>61400</v>
      </c>
    </row>
    <row r="886" spans="1:9" s="302" customFormat="1" ht="56.25">
      <c r="A886" s="1068"/>
      <c r="B886" s="475" t="s">
        <v>1258</v>
      </c>
      <c r="C886" s="530">
        <v>20000</v>
      </c>
      <c r="D886" s="530">
        <v>20000</v>
      </c>
      <c r="E886" s="905"/>
      <c r="F886" s="841"/>
      <c r="G886" s="841"/>
      <c r="H886" s="840">
        <f t="shared" si="26"/>
        <v>0</v>
      </c>
      <c r="I886" s="840">
        <f t="shared" si="27"/>
        <v>40000</v>
      </c>
    </row>
    <row r="887" spans="1:9" s="302" customFormat="1" ht="75">
      <c r="A887" s="1068"/>
      <c r="B887" s="475" t="s">
        <v>1259</v>
      </c>
      <c r="C887" s="530">
        <v>95000</v>
      </c>
      <c r="D887" s="530">
        <v>95000</v>
      </c>
      <c r="E887" s="905"/>
      <c r="F887" s="841"/>
      <c r="G887" s="841"/>
      <c r="H887" s="840">
        <f t="shared" si="26"/>
        <v>0</v>
      </c>
      <c r="I887" s="840">
        <f t="shared" si="27"/>
        <v>190000</v>
      </c>
    </row>
    <row r="888" spans="1:9" s="302" customFormat="1" ht="56.25">
      <c r="A888" s="1068"/>
      <c r="B888" s="475" t="s">
        <v>1774</v>
      </c>
      <c r="C888" s="908">
        <v>43500</v>
      </c>
      <c r="D888" s="908"/>
      <c r="E888" s="905">
        <v>43500</v>
      </c>
      <c r="F888" s="841"/>
      <c r="G888" s="841"/>
      <c r="H888" s="840">
        <f t="shared" si="26"/>
        <v>0</v>
      </c>
      <c r="I888" s="840">
        <f t="shared" si="27"/>
        <v>87000</v>
      </c>
    </row>
    <row r="889" spans="1:9" s="302" customFormat="1" ht="93.75">
      <c r="A889" s="1068"/>
      <c r="B889" s="475" t="s">
        <v>2016</v>
      </c>
      <c r="C889" s="908">
        <v>87707</v>
      </c>
      <c r="D889" s="908"/>
      <c r="E889" s="905">
        <v>87707</v>
      </c>
      <c r="F889" s="841"/>
      <c r="G889" s="841"/>
      <c r="H889" s="840">
        <f t="shared" si="26"/>
        <v>0</v>
      </c>
      <c r="I889" s="840">
        <f t="shared" si="27"/>
        <v>175414</v>
      </c>
    </row>
    <row r="890" spans="1:9" s="302" customFormat="1" ht="75">
      <c r="A890" s="1068"/>
      <c r="B890" s="535" t="s">
        <v>2017</v>
      </c>
      <c r="C890" s="914">
        <v>15000</v>
      </c>
      <c r="D890" s="914"/>
      <c r="E890" s="914">
        <v>15000</v>
      </c>
      <c r="F890" s="841"/>
      <c r="G890" s="841"/>
      <c r="H890" s="840">
        <f t="shared" si="26"/>
        <v>0</v>
      </c>
      <c r="I890" s="840">
        <f t="shared" si="27"/>
        <v>30000</v>
      </c>
    </row>
    <row r="891" spans="1:9" s="302" customFormat="1" ht="56.25">
      <c r="A891" s="1068"/>
      <c r="B891" s="475" t="s">
        <v>2018</v>
      </c>
      <c r="C891" s="905">
        <v>7000</v>
      </c>
      <c r="D891" s="932"/>
      <c r="E891" s="932">
        <v>7000</v>
      </c>
      <c r="F891" s="841"/>
      <c r="G891" s="841"/>
      <c r="H891" s="840">
        <f t="shared" si="26"/>
        <v>0</v>
      </c>
      <c r="I891" s="840">
        <f t="shared" si="27"/>
        <v>14000</v>
      </c>
    </row>
    <row r="892" spans="1:9" s="302" customFormat="1" ht="56.25">
      <c r="A892" s="1068"/>
      <c r="B892" s="475" t="s">
        <v>2019</v>
      </c>
      <c r="C892" s="908">
        <v>35000</v>
      </c>
      <c r="D892" s="905">
        <v>35000</v>
      </c>
      <c r="E892" s="905"/>
      <c r="F892" s="841"/>
      <c r="G892" s="841"/>
      <c r="H892" s="840">
        <f t="shared" si="26"/>
        <v>0</v>
      </c>
      <c r="I892" s="840">
        <f t="shared" si="27"/>
        <v>70000</v>
      </c>
    </row>
    <row r="893" spans="1:9" s="302" customFormat="1" ht="56.25">
      <c r="A893" s="1068"/>
      <c r="B893" s="475" t="s">
        <v>2573</v>
      </c>
      <c r="C893" s="912">
        <v>70000</v>
      </c>
      <c r="D893" s="912"/>
      <c r="E893" s="912">
        <v>70000</v>
      </c>
      <c r="F893" s="841"/>
      <c r="G893" s="841"/>
      <c r="H893" s="840">
        <f t="shared" si="26"/>
        <v>0</v>
      </c>
      <c r="I893" s="840">
        <f t="shared" si="27"/>
        <v>140000</v>
      </c>
    </row>
    <row r="894" spans="1:9" s="302" customFormat="1" ht="56.25">
      <c r="A894" s="1068"/>
      <c r="B894" s="535" t="s">
        <v>2737</v>
      </c>
      <c r="C894" s="914">
        <v>7000</v>
      </c>
      <c r="D894" s="914"/>
      <c r="E894" s="914">
        <v>7000</v>
      </c>
      <c r="F894" s="841"/>
      <c r="G894" s="841"/>
      <c r="H894" s="840">
        <f t="shared" si="26"/>
        <v>0</v>
      </c>
      <c r="I894" s="840">
        <f t="shared" si="27"/>
        <v>14000</v>
      </c>
    </row>
    <row r="895" spans="1:9" s="302" customFormat="1" ht="75">
      <c r="A895" s="1068"/>
      <c r="B895" s="846" t="s">
        <v>2738</v>
      </c>
      <c r="C895" s="933">
        <v>20000</v>
      </c>
      <c r="D895" s="908"/>
      <c r="E895" s="905">
        <v>20000</v>
      </c>
      <c r="F895" s="841"/>
      <c r="G895" s="841"/>
      <c r="H895" s="840">
        <f t="shared" si="26"/>
        <v>0</v>
      </c>
      <c r="I895" s="840">
        <f t="shared" si="27"/>
        <v>40000</v>
      </c>
    </row>
    <row r="896" spans="1:9" s="302" customFormat="1" ht="37.5">
      <c r="A896" s="1068"/>
      <c r="B896" s="846" t="s">
        <v>2739</v>
      </c>
      <c r="C896" s="908">
        <v>4500</v>
      </c>
      <c r="D896" s="908"/>
      <c r="E896" s="908">
        <v>4500</v>
      </c>
      <c r="F896" s="841"/>
      <c r="G896" s="841"/>
      <c r="H896" s="840">
        <f t="shared" si="26"/>
        <v>0</v>
      </c>
      <c r="I896" s="840">
        <f t="shared" si="27"/>
        <v>9000</v>
      </c>
    </row>
    <row r="897" spans="1:9" s="302" customFormat="1" ht="37.5">
      <c r="A897" s="1068"/>
      <c r="B897" s="475" t="s">
        <v>2740</v>
      </c>
      <c r="C897" s="905">
        <v>15000</v>
      </c>
      <c r="D897" s="906">
        <v>8000</v>
      </c>
      <c r="E897" s="906">
        <v>7000</v>
      </c>
      <c r="F897" s="841"/>
      <c r="G897" s="841"/>
      <c r="H897" s="840">
        <f t="shared" si="26"/>
        <v>0</v>
      </c>
      <c r="I897" s="840">
        <f t="shared" si="27"/>
        <v>30000</v>
      </c>
    </row>
    <row r="898" spans="1:9" s="302" customFormat="1" ht="37.5">
      <c r="A898" s="1068"/>
      <c r="B898" s="846" t="s">
        <v>2741</v>
      </c>
      <c r="C898" s="905">
        <v>25000</v>
      </c>
      <c r="D898" s="904"/>
      <c r="E898" s="904">
        <v>25000</v>
      </c>
      <c r="F898" s="841"/>
      <c r="G898" s="841"/>
      <c r="H898" s="840">
        <f t="shared" si="26"/>
        <v>0</v>
      </c>
      <c r="I898" s="840">
        <f t="shared" si="27"/>
        <v>50000</v>
      </c>
    </row>
    <row r="899" spans="1:9" s="302" customFormat="1" ht="37.5">
      <c r="A899" s="1068"/>
      <c r="B899" s="475" t="s">
        <v>2742</v>
      </c>
      <c r="C899" s="908">
        <v>11400</v>
      </c>
      <c r="D899" s="908"/>
      <c r="E899" s="905">
        <v>11400</v>
      </c>
      <c r="F899" s="841"/>
      <c r="G899" s="841"/>
      <c r="H899" s="840">
        <f t="shared" si="26"/>
        <v>0</v>
      </c>
      <c r="I899" s="840">
        <f t="shared" si="27"/>
        <v>22800</v>
      </c>
    </row>
    <row r="900" spans="1:9" s="302" customFormat="1" hidden="1">
      <c r="A900" s="1068"/>
      <c r="B900" s="475"/>
      <c r="C900" s="916"/>
      <c r="D900" s="916"/>
      <c r="E900" s="905"/>
      <c r="F900" s="841"/>
      <c r="G900" s="841"/>
      <c r="H900" s="840">
        <f t="shared" si="26"/>
        <v>0</v>
      </c>
      <c r="I900" s="840">
        <f t="shared" si="27"/>
        <v>0</v>
      </c>
    </row>
    <row r="901" spans="1:9" s="302" customFormat="1" hidden="1">
      <c r="A901" s="1068"/>
      <c r="B901" s="475"/>
      <c r="C901" s="916"/>
      <c r="D901" s="916"/>
      <c r="E901" s="905"/>
      <c r="F901" s="841"/>
      <c r="G901" s="841"/>
      <c r="H901" s="840">
        <f t="shared" si="26"/>
        <v>0</v>
      </c>
      <c r="I901" s="840">
        <f t="shared" si="27"/>
        <v>0</v>
      </c>
    </row>
    <row r="902" spans="1:9" s="302" customFormat="1" hidden="1">
      <c r="A902" s="1068"/>
      <c r="B902" s="475"/>
      <c r="C902" s="916"/>
      <c r="D902" s="916"/>
      <c r="E902" s="905"/>
      <c r="F902" s="841"/>
      <c r="G902" s="841"/>
      <c r="H902" s="840">
        <f t="shared" si="26"/>
        <v>0</v>
      </c>
      <c r="I902" s="840">
        <f t="shared" si="27"/>
        <v>0</v>
      </c>
    </row>
    <row r="903" spans="1:9" s="302" customFormat="1" hidden="1">
      <c r="A903" s="1068"/>
      <c r="B903" s="475"/>
      <c r="C903" s="904"/>
      <c r="D903" s="904"/>
      <c r="E903" s="904"/>
      <c r="F903" s="841"/>
      <c r="G903" s="841"/>
      <c r="H903" s="840">
        <f t="shared" si="26"/>
        <v>0</v>
      </c>
      <c r="I903" s="840">
        <f t="shared" si="27"/>
        <v>0</v>
      </c>
    </row>
    <row r="904" spans="1:9" s="302" customFormat="1" hidden="1">
      <c r="A904" s="1071"/>
      <c r="B904" s="475"/>
      <c r="C904" s="912"/>
      <c r="D904" s="473"/>
      <c r="E904" s="914"/>
      <c r="F904" s="841"/>
      <c r="G904" s="841"/>
      <c r="H904" s="840">
        <f t="shared" si="26"/>
        <v>0</v>
      </c>
      <c r="I904" s="840">
        <f t="shared" si="27"/>
        <v>0</v>
      </c>
    </row>
    <row r="905" spans="1:9" s="302" customFormat="1" ht="18" hidden="1" customHeight="1">
      <c r="A905" s="1071"/>
      <c r="B905" s="475"/>
      <c r="C905" s="916"/>
      <c r="D905" s="916"/>
      <c r="E905" s="905"/>
      <c r="F905" s="841"/>
      <c r="G905" s="841"/>
      <c r="H905" s="840">
        <f t="shared" ref="H905:H968" si="28">E905+D905-C905</f>
        <v>0</v>
      </c>
      <c r="I905" s="840">
        <f t="shared" ref="I905:I968" si="29">SUM(C905:E905)</f>
        <v>0</v>
      </c>
    </row>
    <row r="906" spans="1:9" s="302" customFormat="1" ht="18" hidden="1" customHeight="1">
      <c r="A906" s="1071"/>
      <c r="B906" s="475"/>
      <c r="C906" s="916"/>
      <c r="D906" s="916"/>
      <c r="E906" s="905"/>
      <c r="F906" s="841"/>
      <c r="G906" s="841"/>
      <c r="H906" s="840">
        <f t="shared" si="28"/>
        <v>0</v>
      </c>
      <c r="I906" s="840">
        <f t="shared" si="29"/>
        <v>0</v>
      </c>
    </row>
    <row r="907" spans="1:9" s="302" customFormat="1" ht="18" hidden="1" customHeight="1">
      <c r="A907" s="1071"/>
      <c r="B907" s="475"/>
      <c r="C907" s="916"/>
      <c r="D907" s="916"/>
      <c r="E907" s="905"/>
      <c r="F907" s="841"/>
      <c r="G907" s="841"/>
      <c r="H907" s="840">
        <f t="shared" si="28"/>
        <v>0</v>
      </c>
      <c r="I907" s="840">
        <f t="shared" si="29"/>
        <v>0</v>
      </c>
    </row>
    <row r="908" spans="1:9" s="302" customFormat="1" ht="18" hidden="1" customHeight="1">
      <c r="A908" s="1071"/>
      <c r="B908" s="475"/>
      <c r="C908" s="916"/>
      <c r="D908" s="916"/>
      <c r="E908" s="905"/>
      <c r="F908" s="841"/>
      <c r="G908" s="841"/>
      <c r="H908" s="840">
        <f t="shared" si="28"/>
        <v>0</v>
      </c>
      <c r="I908" s="840">
        <f t="shared" si="29"/>
        <v>0</v>
      </c>
    </row>
    <row r="909" spans="1:9" s="302" customFormat="1" ht="18" hidden="1" customHeight="1">
      <c r="A909" s="1071"/>
      <c r="B909" s="475"/>
      <c r="C909" s="916"/>
      <c r="D909" s="916"/>
      <c r="E909" s="905"/>
      <c r="F909" s="841"/>
      <c r="G909" s="841"/>
      <c r="H909" s="840">
        <f t="shared" si="28"/>
        <v>0</v>
      </c>
      <c r="I909" s="840">
        <f t="shared" si="29"/>
        <v>0</v>
      </c>
    </row>
    <row r="910" spans="1:9" s="302" customFormat="1" ht="18" hidden="1" customHeight="1">
      <c r="A910" s="1071"/>
      <c r="B910" s="475"/>
      <c r="C910" s="916"/>
      <c r="D910" s="916"/>
      <c r="E910" s="905"/>
      <c r="F910" s="841"/>
      <c r="G910" s="841"/>
      <c r="H910" s="840">
        <f t="shared" si="28"/>
        <v>0</v>
      </c>
      <c r="I910" s="840">
        <f t="shared" si="29"/>
        <v>0</v>
      </c>
    </row>
    <row r="911" spans="1:9" s="302" customFormat="1" ht="18" hidden="1" customHeight="1">
      <c r="A911" s="1071"/>
      <c r="B911" s="475"/>
      <c r="C911" s="916"/>
      <c r="D911" s="916"/>
      <c r="E911" s="905"/>
      <c r="F911" s="841"/>
      <c r="G911" s="841"/>
      <c r="H911" s="840">
        <f t="shared" si="28"/>
        <v>0</v>
      </c>
      <c r="I911" s="840">
        <f t="shared" si="29"/>
        <v>0</v>
      </c>
    </row>
    <row r="912" spans="1:9" s="302" customFormat="1" ht="18" hidden="1" customHeight="1">
      <c r="A912" s="1071"/>
      <c r="B912" s="475"/>
      <c r="C912" s="916"/>
      <c r="D912" s="916"/>
      <c r="E912" s="905"/>
      <c r="F912" s="841"/>
      <c r="G912" s="841"/>
      <c r="H912" s="840">
        <f t="shared" si="28"/>
        <v>0</v>
      </c>
      <c r="I912" s="840">
        <f t="shared" si="29"/>
        <v>0</v>
      </c>
    </row>
    <row r="913" spans="1:9" s="302" customFormat="1" ht="18" hidden="1" customHeight="1">
      <c r="A913" s="1071"/>
      <c r="B913" s="475"/>
      <c r="C913" s="916"/>
      <c r="D913" s="916"/>
      <c r="E913" s="905"/>
      <c r="F913" s="841"/>
      <c r="G913" s="841"/>
      <c r="H913" s="840">
        <f t="shared" si="28"/>
        <v>0</v>
      </c>
      <c r="I913" s="840">
        <f t="shared" si="29"/>
        <v>0</v>
      </c>
    </row>
    <row r="914" spans="1:9" s="302" customFormat="1" ht="18" hidden="1" customHeight="1">
      <c r="A914" s="1071"/>
      <c r="B914" s="475"/>
      <c r="C914" s="916"/>
      <c r="D914" s="916"/>
      <c r="E914" s="905"/>
      <c r="F914" s="841"/>
      <c r="G914" s="841"/>
      <c r="H914" s="840">
        <f t="shared" si="28"/>
        <v>0</v>
      </c>
      <c r="I914" s="840">
        <f t="shared" si="29"/>
        <v>0</v>
      </c>
    </row>
    <row r="915" spans="1:9" s="302" customFormat="1" ht="18" hidden="1" customHeight="1">
      <c r="A915" s="1071"/>
      <c r="B915" s="475"/>
      <c r="C915" s="916"/>
      <c r="D915" s="916"/>
      <c r="E915" s="905"/>
      <c r="F915" s="841"/>
      <c r="G915" s="841"/>
      <c r="H915" s="840">
        <f t="shared" si="28"/>
        <v>0</v>
      </c>
      <c r="I915" s="840">
        <f t="shared" si="29"/>
        <v>0</v>
      </c>
    </row>
    <row r="916" spans="1:9" s="302" customFormat="1" ht="18" hidden="1" customHeight="1">
      <c r="A916" s="1071"/>
      <c r="B916" s="475"/>
      <c r="C916" s="916"/>
      <c r="D916" s="916"/>
      <c r="E916" s="905"/>
      <c r="F916" s="841"/>
      <c r="G916" s="841"/>
      <c r="H916" s="840">
        <f t="shared" si="28"/>
        <v>0</v>
      </c>
      <c r="I916" s="840">
        <f t="shared" si="29"/>
        <v>0</v>
      </c>
    </row>
    <row r="917" spans="1:9" s="302" customFormat="1" ht="18" hidden="1" customHeight="1">
      <c r="A917" s="1071"/>
      <c r="B917" s="475"/>
      <c r="C917" s="916"/>
      <c r="D917" s="916"/>
      <c r="E917" s="905"/>
      <c r="F917" s="841"/>
      <c r="G917" s="841"/>
      <c r="H917" s="840">
        <f t="shared" si="28"/>
        <v>0</v>
      </c>
      <c r="I917" s="840">
        <f t="shared" si="29"/>
        <v>0</v>
      </c>
    </row>
    <row r="918" spans="1:9" s="302" customFormat="1" ht="18" hidden="1" customHeight="1">
      <c r="A918" s="1071"/>
      <c r="B918" s="864"/>
      <c r="C918" s="917"/>
      <c r="D918" s="917"/>
      <c r="E918" s="918"/>
      <c r="F918" s="841"/>
      <c r="G918" s="841"/>
      <c r="H918" s="840">
        <f t="shared" si="28"/>
        <v>0</v>
      </c>
      <c r="I918" s="840">
        <f t="shared" si="29"/>
        <v>0</v>
      </c>
    </row>
    <row r="919" spans="1:9">
      <c r="A919" s="1081"/>
      <c r="B919" s="461" t="s">
        <v>253</v>
      </c>
      <c r="C919" s="919">
        <f>SUM(C881:C918)</f>
        <v>1435890</v>
      </c>
      <c r="D919" s="919">
        <f>SUM(D881:D918)</f>
        <v>988083</v>
      </c>
      <c r="E919" s="919">
        <f>SUM(E881:E918)</f>
        <v>447807</v>
      </c>
      <c r="F919" s="850">
        <f>SUM(F881:F892)</f>
        <v>0</v>
      </c>
      <c r="G919" s="851">
        <f>SUM(G881:G892)</f>
        <v>0</v>
      </c>
      <c r="H919" s="840">
        <f t="shared" si="28"/>
        <v>0</v>
      </c>
      <c r="I919" s="840">
        <f t="shared" si="29"/>
        <v>2871780</v>
      </c>
    </row>
    <row r="920" spans="1:9" ht="75">
      <c r="A920" s="1081" t="s">
        <v>248</v>
      </c>
      <c r="B920" s="887" t="s">
        <v>952</v>
      </c>
      <c r="C920" s="530">
        <v>148300</v>
      </c>
      <c r="D920" s="530">
        <v>148300</v>
      </c>
      <c r="E920" s="530"/>
      <c r="F920" s="839"/>
      <c r="G920" s="839"/>
      <c r="H920" s="840">
        <f t="shared" si="28"/>
        <v>0</v>
      </c>
      <c r="I920" s="840">
        <f t="shared" si="29"/>
        <v>296600</v>
      </c>
    </row>
    <row r="921" spans="1:9" ht="112.5">
      <c r="A921" s="1081"/>
      <c r="B921" s="475" t="s">
        <v>953</v>
      </c>
      <c r="C921" s="907">
        <f>150000+100000</f>
        <v>250000</v>
      </c>
      <c r="D921" s="530"/>
      <c r="E921" s="907">
        <f>150000+100000</f>
        <v>250000</v>
      </c>
      <c r="F921" s="854"/>
      <c r="G921" s="854"/>
      <c r="H921" s="840">
        <f t="shared" si="28"/>
        <v>0</v>
      </c>
      <c r="I921" s="840">
        <f t="shared" si="29"/>
        <v>500000</v>
      </c>
    </row>
    <row r="922" spans="1:9" ht="56.25">
      <c r="A922" s="1081"/>
      <c r="B922" s="475" t="s">
        <v>1084</v>
      </c>
      <c r="C922" s="905">
        <v>284000</v>
      </c>
      <c r="D922" s="905">
        <v>284000</v>
      </c>
      <c r="E922" s="905"/>
      <c r="F922" s="854"/>
      <c r="G922" s="854"/>
      <c r="H922" s="840">
        <f t="shared" si="28"/>
        <v>0</v>
      </c>
      <c r="I922" s="840">
        <f t="shared" si="29"/>
        <v>568000</v>
      </c>
    </row>
    <row r="923" spans="1:9" ht="56.25">
      <c r="A923" s="1081"/>
      <c r="B923" s="475" t="s">
        <v>1260</v>
      </c>
      <c r="C923" s="530">
        <f>75000-26026</f>
        <v>48974</v>
      </c>
      <c r="D923" s="530"/>
      <c r="E923" s="905">
        <f>75000-26026</f>
        <v>48974</v>
      </c>
      <c r="F923" s="841"/>
      <c r="G923" s="841"/>
      <c r="H923" s="840">
        <f t="shared" si="28"/>
        <v>0</v>
      </c>
      <c r="I923" s="840">
        <f t="shared" si="29"/>
        <v>97948</v>
      </c>
    </row>
    <row r="924" spans="1:9" ht="75" hidden="1">
      <c r="A924" s="1081"/>
      <c r="B924" s="475" t="s">
        <v>1814</v>
      </c>
      <c r="C924" s="905">
        <f>26026-26026</f>
        <v>0</v>
      </c>
      <c r="D924" s="908"/>
      <c r="E924" s="905">
        <f>26026-26026</f>
        <v>0</v>
      </c>
      <c r="F924" s="841"/>
      <c r="G924" s="841"/>
      <c r="H924" s="840">
        <f t="shared" si="28"/>
        <v>0</v>
      </c>
      <c r="I924" s="840">
        <f t="shared" si="29"/>
        <v>0</v>
      </c>
    </row>
    <row r="925" spans="1:9" ht="75">
      <c r="A925" s="1081"/>
      <c r="B925" s="475" t="s">
        <v>2506</v>
      </c>
      <c r="C925" s="530">
        <v>15000</v>
      </c>
      <c r="D925" s="530">
        <v>2000</v>
      </c>
      <c r="E925" s="905">
        <v>13000</v>
      </c>
      <c r="F925" s="859"/>
      <c r="G925" s="860"/>
      <c r="H925" s="840">
        <f t="shared" si="28"/>
        <v>0</v>
      </c>
      <c r="I925" s="840">
        <f t="shared" si="29"/>
        <v>30000</v>
      </c>
    </row>
    <row r="926" spans="1:9" ht="56.25">
      <c r="A926" s="1081"/>
      <c r="B926" s="475" t="s">
        <v>1261</v>
      </c>
      <c r="C926" s="530">
        <v>15000</v>
      </c>
      <c r="D926" s="530"/>
      <c r="E926" s="905">
        <v>15000</v>
      </c>
      <c r="F926" s="841"/>
      <c r="G926" s="841"/>
      <c r="H926" s="840">
        <f t="shared" si="28"/>
        <v>0</v>
      </c>
      <c r="I926" s="840">
        <f t="shared" si="29"/>
        <v>30000</v>
      </c>
    </row>
    <row r="927" spans="1:9" ht="112.5" hidden="1">
      <c r="A927" s="1081"/>
      <c r="B927" s="475" t="s">
        <v>1262</v>
      </c>
      <c r="C927" s="530">
        <f>15000-15000</f>
        <v>0</v>
      </c>
      <c r="D927" s="530">
        <f>15000-15000</f>
        <v>0</v>
      </c>
      <c r="E927" s="905"/>
      <c r="F927" s="841"/>
      <c r="G927" s="841"/>
      <c r="H927" s="840">
        <f t="shared" si="28"/>
        <v>0</v>
      </c>
      <c r="I927" s="840">
        <f t="shared" si="29"/>
        <v>0</v>
      </c>
    </row>
    <row r="928" spans="1:9" s="302" customFormat="1" ht="56.25">
      <c r="A928" s="1068"/>
      <c r="B928" s="475" t="s">
        <v>1263</v>
      </c>
      <c r="C928" s="530">
        <v>5000</v>
      </c>
      <c r="D928" s="530">
        <v>5000</v>
      </c>
      <c r="E928" s="905"/>
      <c r="F928" s="841"/>
      <c r="G928" s="841"/>
      <c r="H928" s="840">
        <f t="shared" si="28"/>
        <v>0</v>
      </c>
      <c r="I928" s="840">
        <f t="shared" si="29"/>
        <v>10000</v>
      </c>
    </row>
    <row r="929" spans="1:9" s="302" customFormat="1" ht="56.25">
      <c r="A929" s="1068"/>
      <c r="B929" s="475" t="s">
        <v>1264</v>
      </c>
      <c r="C929" s="530">
        <v>30000</v>
      </c>
      <c r="D929" s="530">
        <v>30000</v>
      </c>
      <c r="E929" s="905"/>
      <c r="F929" s="841"/>
      <c r="G929" s="841"/>
      <c r="H929" s="840">
        <f t="shared" si="28"/>
        <v>0</v>
      </c>
      <c r="I929" s="840">
        <f t="shared" si="29"/>
        <v>60000</v>
      </c>
    </row>
    <row r="930" spans="1:9" s="302" customFormat="1" ht="93.75">
      <c r="A930" s="1068"/>
      <c r="B930" s="475" t="s">
        <v>1265</v>
      </c>
      <c r="C930" s="530">
        <v>20000</v>
      </c>
      <c r="D930" s="530">
        <v>20000</v>
      </c>
      <c r="E930" s="905"/>
      <c r="F930" s="841"/>
      <c r="G930" s="841"/>
      <c r="H930" s="840">
        <f t="shared" si="28"/>
        <v>0</v>
      </c>
      <c r="I930" s="840">
        <f t="shared" si="29"/>
        <v>40000</v>
      </c>
    </row>
    <row r="931" spans="1:9" s="302" customFormat="1" ht="75">
      <c r="A931" s="1068"/>
      <c r="B931" s="475" t="s">
        <v>1266</v>
      </c>
      <c r="C931" s="530">
        <v>25000</v>
      </c>
      <c r="D931" s="530">
        <v>25000</v>
      </c>
      <c r="E931" s="905"/>
      <c r="F931" s="841"/>
      <c r="G931" s="841"/>
      <c r="H931" s="840">
        <f t="shared" si="28"/>
        <v>0</v>
      </c>
      <c r="I931" s="840">
        <f t="shared" si="29"/>
        <v>50000</v>
      </c>
    </row>
    <row r="932" spans="1:9" s="302" customFormat="1" ht="75">
      <c r="A932" s="1068"/>
      <c r="B932" s="475" t="s">
        <v>1775</v>
      </c>
      <c r="C932" s="908">
        <v>40000</v>
      </c>
      <c r="D932" s="908">
        <v>40000</v>
      </c>
      <c r="E932" s="905"/>
      <c r="F932" s="841"/>
      <c r="G932" s="841"/>
      <c r="H932" s="840">
        <f t="shared" si="28"/>
        <v>0</v>
      </c>
      <c r="I932" s="840">
        <f t="shared" si="29"/>
        <v>80000</v>
      </c>
    </row>
    <row r="933" spans="1:9" s="302" customFormat="1" ht="56.25">
      <c r="A933" s="1068"/>
      <c r="B933" s="475" t="s">
        <v>1892</v>
      </c>
      <c r="C933" s="911">
        <v>150000</v>
      </c>
      <c r="D933" s="911"/>
      <c r="E933" s="911">
        <v>150000</v>
      </c>
      <c r="F933" s="841"/>
      <c r="G933" s="841"/>
      <c r="H933" s="840">
        <f t="shared" si="28"/>
        <v>0</v>
      </c>
      <c r="I933" s="840">
        <f t="shared" si="29"/>
        <v>300000</v>
      </c>
    </row>
    <row r="934" spans="1:9" s="302" customFormat="1" ht="56.25">
      <c r="A934" s="1068"/>
      <c r="B934" s="475" t="s">
        <v>2343</v>
      </c>
      <c r="C934" s="911">
        <v>50000</v>
      </c>
      <c r="D934" s="911"/>
      <c r="E934" s="911">
        <v>50000</v>
      </c>
      <c r="F934" s="841"/>
      <c r="G934" s="841"/>
      <c r="H934" s="840">
        <f t="shared" si="28"/>
        <v>0</v>
      </c>
      <c r="I934" s="840">
        <f t="shared" si="29"/>
        <v>100000</v>
      </c>
    </row>
    <row r="935" spans="1:9" s="302" customFormat="1" ht="56.25">
      <c r="A935" s="1068"/>
      <c r="B935" s="475" t="s">
        <v>950</v>
      </c>
      <c r="C935" s="916">
        <v>360000</v>
      </c>
      <c r="D935" s="916"/>
      <c r="E935" s="905">
        <v>360000</v>
      </c>
      <c r="F935" s="841"/>
      <c r="G935" s="841"/>
      <c r="H935" s="840">
        <f t="shared" si="28"/>
        <v>0</v>
      </c>
      <c r="I935" s="840">
        <f t="shared" si="29"/>
        <v>720000</v>
      </c>
    </row>
    <row r="936" spans="1:9" s="302" customFormat="1" ht="75">
      <c r="A936" s="1068"/>
      <c r="B936" s="475" t="s">
        <v>2020</v>
      </c>
      <c r="C936" s="908">
        <v>20000</v>
      </c>
      <c r="D936" s="908"/>
      <c r="E936" s="905">
        <v>20000</v>
      </c>
      <c r="F936" s="841"/>
      <c r="G936" s="841"/>
      <c r="H936" s="840">
        <f t="shared" si="28"/>
        <v>0</v>
      </c>
      <c r="I936" s="840">
        <f t="shared" si="29"/>
        <v>40000</v>
      </c>
    </row>
    <row r="937" spans="1:9" s="302" customFormat="1" ht="56.25">
      <c r="A937" s="1068"/>
      <c r="B937" s="475" t="s">
        <v>2021</v>
      </c>
      <c r="C937" s="908">
        <f>15000-4811</f>
        <v>10189</v>
      </c>
      <c r="D937" s="908"/>
      <c r="E937" s="905">
        <f>15000-4811</f>
        <v>10189</v>
      </c>
      <c r="F937" s="841"/>
      <c r="G937" s="841"/>
      <c r="H937" s="840">
        <f t="shared" si="28"/>
        <v>0</v>
      </c>
      <c r="I937" s="840">
        <f t="shared" si="29"/>
        <v>20378</v>
      </c>
    </row>
    <row r="938" spans="1:9" s="302" customFormat="1" ht="56.25">
      <c r="A938" s="1068"/>
      <c r="B938" s="740" t="s">
        <v>3052</v>
      </c>
      <c r="C938" s="905">
        <v>4811</v>
      </c>
      <c r="D938" s="908">
        <v>4811</v>
      </c>
      <c r="E938" s="905"/>
      <c r="F938" s="841"/>
      <c r="G938" s="841"/>
      <c r="H938" s="840">
        <f t="shared" si="28"/>
        <v>0</v>
      </c>
      <c r="I938" s="840">
        <f t="shared" si="29"/>
        <v>9622</v>
      </c>
    </row>
    <row r="939" spans="1:9" s="302" customFormat="1" ht="56.25">
      <c r="A939" s="1068"/>
      <c r="B939" s="475" t="s">
        <v>3051</v>
      </c>
      <c r="C939" s="905">
        <v>5000</v>
      </c>
      <c r="D939" s="908">
        <v>5000</v>
      </c>
      <c r="E939" s="905"/>
      <c r="F939" s="841"/>
      <c r="G939" s="841"/>
      <c r="H939" s="840">
        <f t="shared" si="28"/>
        <v>0</v>
      </c>
      <c r="I939" s="840">
        <f t="shared" si="29"/>
        <v>10000</v>
      </c>
    </row>
    <row r="940" spans="1:9" s="302" customFormat="1" ht="56.25">
      <c r="A940" s="1068"/>
      <c r="B940" s="475" t="s">
        <v>2022</v>
      </c>
      <c r="C940" s="908">
        <v>15000</v>
      </c>
      <c r="D940" s="908"/>
      <c r="E940" s="905">
        <v>15000</v>
      </c>
      <c r="F940" s="841"/>
      <c r="G940" s="841"/>
      <c r="H940" s="840">
        <f t="shared" si="28"/>
        <v>0</v>
      </c>
      <c r="I940" s="840">
        <f t="shared" si="29"/>
        <v>30000</v>
      </c>
    </row>
    <row r="941" spans="1:9" s="302" customFormat="1" ht="112.5">
      <c r="A941" s="1068"/>
      <c r="B941" s="475" t="s">
        <v>2023</v>
      </c>
      <c r="C941" s="908">
        <v>30605</v>
      </c>
      <c r="D941" s="908">
        <v>30605</v>
      </c>
      <c r="E941" s="905"/>
      <c r="F941" s="841"/>
      <c r="G941" s="841"/>
      <c r="H941" s="840">
        <f t="shared" si="28"/>
        <v>0</v>
      </c>
      <c r="I941" s="840">
        <f t="shared" si="29"/>
        <v>61210</v>
      </c>
    </row>
    <row r="942" spans="1:9" s="302" customFormat="1" ht="93.75">
      <c r="A942" s="1068"/>
      <c r="B942" s="475" t="s">
        <v>2341</v>
      </c>
      <c r="C942" s="908">
        <v>15000</v>
      </c>
      <c r="D942" s="908"/>
      <c r="E942" s="905">
        <v>15000</v>
      </c>
      <c r="F942" s="841"/>
      <c r="G942" s="841"/>
      <c r="H942" s="840">
        <f t="shared" si="28"/>
        <v>0</v>
      </c>
      <c r="I942" s="840">
        <f t="shared" si="29"/>
        <v>30000</v>
      </c>
    </row>
    <row r="943" spans="1:9" ht="56.25">
      <c r="A943" s="1068"/>
      <c r="B943" s="475" t="s">
        <v>2024</v>
      </c>
      <c r="C943" s="908">
        <v>20000</v>
      </c>
      <c r="D943" s="908">
        <v>20000</v>
      </c>
      <c r="E943" s="905"/>
      <c r="F943" s="840"/>
      <c r="G943" s="840"/>
      <c r="H943" s="840">
        <f t="shared" si="28"/>
        <v>0</v>
      </c>
      <c r="I943" s="840">
        <f t="shared" si="29"/>
        <v>40000</v>
      </c>
    </row>
    <row r="944" spans="1:9" s="302" customFormat="1" ht="37.5">
      <c r="A944" s="1068"/>
      <c r="B944" s="475" t="s">
        <v>2025</v>
      </c>
      <c r="C944" s="908">
        <v>10000</v>
      </c>
      <c r="D944" s="908">
        <v>10000</v>
      </c>
      <c r="E944" s="905"/>
      <c r="F944" s="841"/>
      <c r="G944" s="841"/>
      <c r="H944" s="840">
        <f t="shared" si="28"/>
        <v>0</v>
      </c>
      <c r="I944" s="840">
        <f t="shared" si="29"/>
        <v>20000</v>
      </c>
    </row>
    <row r="945" spans="1:9" s="302" customFormat="1" ht="56.25">
      <c r="A945" s="1068"/>
      <c r="B945" s="475" t="s">
        <v>2026</v>
      </c>
      <c r="C945" s="908">
        <v>10000</v>
      </c>
      <c r="D945" s="908">
        <v>10000</v>
      </c>
      <c r="E945" s="905"/>
      <c r="F945" s="841"/>
      <c r="G945" s="841"/>
      <c r="H945" s="840">
        <f t="shared" si="28"/>
        <v>0</v>
      </c>
      <c r="I945" s="840">
        <f t="shared" si="29"/>
        <v>20000</v>
      </c>
    </row>
    <row r="946" spans="1:9" s="302" customFormat="1" ht="37.5">
      <c r="A946" s="1068"/>
      <c r="B946" s="475" t="s">
        <v>2027</v>
      </c>
      <c r="C946" s="905">
        <v>193883</v>
      </c>
      <c r="D946" s="905">
        <v>193883</v>
      </c>
      <c r="E946" s="905"/>
      <c r="F946" s="841"/>
      <c r="G946" s="841"/>
      <c r="H946" s="840">
        <f t="shared" si="28"/>
        <v>0</v>
      </c>
      <c r="I946" s="840">
        <f t="shared" si="29"/>
        <v>387766</v>
      </c>
    </row>
    <row r="947" spans="1:9" s="302" customFormat="1" ht="93.75">
      <c r="A947" s="1068"/>
      <c r="B947" s="475" t="s">
        <v>2028</v>
      </c>
      <c r="C947" s="905">
        <v>75883</v>
      </c>
      <c r="D947" s="905"/>
      <c r="E947" s="905">
        <v>75883</v>
      </c>
      <c r="F947" s="841"/>
      <c r="G947" s="841"/>
      <c r="H947" s="840">
        <f t="shared" si="28"/>
        <v>0</v>
      </c>
      <c r="I947" s="840">
        <f t="shared" si="29"/>
        <v>151766</v>
      </c>
    </row>
    <row r="948" spans="1:9" s="302" customFormat="1" ht="93.75">
      <c r="A948" s="1068"/>
      <c r="B948" s="475" t="s">
        <v>2029</v>
      </c>
      <c r="C948" s="905">
        <v>40000</v>
      </c>
      <c r="D948" s="905"/>
      <c r="E948" s="905">
        <v>40000</v>
      </c>
      <c r="F948" s="841"/>
      <c r="G948" s="841"/>
      <c r="H948" s="840">
        <f t="shared" si="28"/>
        <v>0</v>
      </c>
      <c r="I948" s="840">
        <f t="shared" si="29"/>
        <v>80000</v>
      </c>
    </row>
    <row r="949" spans="1:9" s="302" customFormat="1" ht="112.5">
      <c r="A949" s="1068"/>
      <c r="B949" s="475" t="s">
        <v>2030</v>
      </c>
      <c r="C949" s="905">
        <v>20000</v>
      </c>
      <c r="D949" s="905">
        <v>20000</v>
      </c>
      <c r="E949" s="905"/>
      <c r="F949" s="841"/>
      <c r="G949" s="841"/>
      <c r="H949" s="840">
        <f t="shared" si="28"/>
        <v>0</v>
      </c>
      <c r="I949" s="840">
        <f t="shared" si="29"/>
        <v>40000</v>
      </c>
    </row>
    <row r="950" spans="1:9" s="302" customFormat="1" ht="56.25">
      <c r="A950" s="1068"/>
      <c r="B950" s="475" t="s">
        <v>2031</v>
      </c>
      <c r="C950" s="905">
        <v>20000</v>
      </c>
      <c r="D950" s="905">
        <v>20000</v>
      </c>
      <c r="E950" s="905"/>
      <c r="F950" s="841"/>
      <c r="G950" s="841"/>
      <c r="H950" s="840">
        <f t="shared" si="28"/>
        <v>0</v>
      </c>
      <c r="I950" s="840">
        <f t="shared" si="29"/>
        <v>40000</v>
      </c>
    </row>
    <row r="951" spans="1:9" s="302" customFormat="1" ht="75">
      <c r="A951" s="1068"/>
      <c r="B951" s="475" t="s">
        <v>2032</v>
      </c>
      <c r="C951" s="905">
        <v>20000</v>
      </c>
      <c r="D951" s="905">
        <v>20000</v>
      </c>
      <c r="E951" s="905"/>
      <c r="F951" s="841"/>
      <c r="G951" s="841"/>
      <c r="H951" s="840">
        <f t="shared" si="28"/>
        <v>0</v>
      </c>
      <c r="I951" s="840">
        <f t="shared" si="29"/>
        <v>40000</v>
      </c>
    </row>
    <row r="952" spans="1:9" s="302" customFormat="1" ht="75">
      <c r="A952" s="1068"/>
      <c r="B952" s="475" t="s">
        <v>2574</v>
      </c>
      <c r="C952" s="905">
        <v>100000</v>
      </c>
      <c r="D952" s="905">
        <v>100000</v>
      </c>
      <c r="E952" s="905"/>
      <c r="F952" s="841"/>
      <c r="G952" s="841"/>
      <c r="H952" s="840">
        <f t="shared" si="28"/>
        <v>0</v>
      </c>
      <c r="I952" s="840">
        <f t="shared" si="29"/>
        <v>200000</v>
      </c>
    </row>
    <row r="953" spans="1:9" s="302" customFormat="1" ht="37.5">
      <c r="A953" s="1068"/>
      <c r="B953" s="475" t="s">
        <v>2575</v>
      </c>
      <c r="C953" s="905">
        <v>70000</v>
      </c>
      <c r="D953" s="905"/>
      <c r="E953" s="905">
        <v>70000</v>
      </c>
      <c r="F953" s="841"/>
      <c r="G953" s="841"/>
      <c r="H953" s="840">
        <f t="shared" si="28"/>
        <v>0</v>
      </c>
      <c r="I953" s="840">
        <f t="shared" si="29"/>
        <v>140000</v>
      </c>
    </row>
    <row r="954" spans="1:9" s="302" customFormat="1" ht="56.25">
      <c r="A954" s="1068"/>
      <c r="B954" s="846" t="s">
        <v>2743</v>
      </c>
      <c r="C954" s="933">
        <v>20000</v>
      </c>
      <c r="D954" s="908">
        <v>20000</v>
      </c>
      <c r="E954" s="905"/>
      <c r="F954" s="841"/>
      <c r="G954" s="841"/>
      <c r="H954" s="840">
        <f t="shared" si="28"/>
        <v>0</v>
      </c>
      <c r="I954" s="840">
        <f t="shared" si="29"/>
        <v>40000</v>
      </c>
    </row>
    <row r="955" spans="1:9" s="302" customFormat="1" ht="37.5">
      <c r="A955" s="1068"/>
      <c r="B955" s="846" t="s">
        <v>2744</v>
      </c>
      <c r="C955" s="908">
        <v>9719</v>
      </c>
      <c r="D955" s="908">
        <v>9719</v>
      </c>
      <c r="E955" s="908"/>
      <c r="F955" s="841"/>
      <c r="G955" s="841"/>
      <c r="H955" s="840">
        <f t="shared" si="28"/>
        <v>0</v>
      </c>
      <c r="I955" s="840">
        <f t="shared" si="29"/>
        <v>19438</v>
      </c>
    </row>
    <row r="956" spans="1:9" s="302" customFormat="1" ht="75">
      <c r="A956" s="1068"/>
      <c r="B956" s="475" t="s">
        <v>2745</v>
      </c>
      <c r="C956" s="908">
        <v>20000</v>
      </c>
      <c r="D956" s="908">
        <v>20000</v>
      </c>
      <c r="E956" s="905"/>
      <c r="F956" s="841"/>
      <c r="G956" s="841"/>
      <c r="H956" s="840">
        <f t="shared" si="28"/>
        <v>0</v>
      </c>
      <c r="I956" s="840">
        <f t="shared" si="29"/>
        <v>40000</v>
      </c>
    </row>
    <row r="957" spans="1:9" s="302" customFormat="1" ht="56.25">
      <c r="A957" s="1068"/>
      <c r="B957" s="475" t="s">
        <v>2746</v>
      </c>
      <c r="C957" s="905">
        <v>25000</v>
      </c>
      <c r="D957" s="906">
        <v>25000</v>
      </c>
      <c r="E957" s="906"/>
      <c r="F957" s="841"/>
      <c r="G957" s="841"/>
      <c r="H957" s="840">
        <f t="shared" si="28"/>
        <v>0</v>
      </c>
      <c r="I957" s="840">
        <f t="shared" si="29"/>
        <v>50000</v>
      </c>
    </row>
    <row r="958" spans="1:9" s="302" customFormat="1" ht="75">
      <c r="A958" s="1068"/>
      <c r="B958" s="475" t="s">
        <v>2747</v>
      </c>
      <c r="C958" s="915">
        <v>30000</v>
      </c>
      <c r="D958" s="915">
        <v>30000</v>
      </c>
      <c r="E958" s="914"/>
      <c r="F958" s="841"/>
      <c r="G958" s="841"/>
      <c r="H958" s="840">
        <f t="shared" si="28"/>
        <v>0</v>
      </c>
      <c r="I958" s="840">
        <f t="shared" si="29"/>
        <v>60000</v>
      </c>
    </row>
    <row r="959" spans="1:9" s="302" customFormat="1" ht="93.75">
      <c r="A959" s="1068"/>
      <c r="B959" s="475" t="s">
        <v>2748</v>
      </c>
      <c r="C959" s="905">
        <v>64441</v>
      </c>
      <c r="D959" s="905"/>
      <c r="E959" s="905">
        <v>64441</v>
      </c>
      <c r="F959" s="841"/>
      <c r="G959" s="841"/>
      <c r="H959" s="840">
        <f t="shared" si="28"/>
        <v>0</v>
      </c>
      <c r="I959" s="840">
        <f t="shared" si="29"/>
        <v>128882</v>
      </c>
    </row>
    <row r="960" spans="1:9" s="302" customFormat="1" ht="131.25">
      <c r="A960" s="1068"/>
      <c r="B960" s="475" t="s">
        <v>2749</v>
      </c>
      <c r="C960" s="905">
        <v>50000</v>
      </c>
      <c r="D960" s="905">
        <v>50000</v>
      </c>
      <c r="E960" s="905"/>
      <c r="F960" s="841"/>
      <c r="G960" s="841"/>
      <c r="H960" s="840">
        <f t="shared" si="28"/>
        <v>0</v>
      </c>
      <c r="I960" s="840">
        <f t="shared" si="29"/>
        <v>100000</v>
      </c>
    </row>
    <row r="961" spans="1:9" s="302" customFormat="1" ht="56.25">
      <c r="A961" s="1068"/>
      <c r="B961" s="475" t="s">
        <v>2750</v>
      </c>
      <c r="C961" s="908">
        <v>12000</v>
      </c>
      <c r="D961" s="908">
        <v>12000</v>
      </c>
      <c r="E961" s="905"/>
      <c r="F961" s="841"/>
      <c r="G961" s="841"/>
      <c r="H961" s="840">
        <f t="shared" si="28"/>
        <v>0</v>
      </c>
      <c r="I961" s="840">
        <f t="shared" si="29"/>
        <v>24000</v>
      </c>
    </row>
    <row r="962" spans="1:9" s="302" customFormat="1" ht="37.5">
      <c r="A962" s="1068"/>
      <c r="B962" s="475" t="s">
        <v>2751</v>
      </c>
      <c r="C962" s="908">
        <v>38000</v>
      </c>
      <c r="D962" s="908">
        <v>38000</v>
      </c>
      <c r="E962" s="905"/>
      <c r="F962" s="841"/>
      <c r="G962" s="841"/>
      <c r="H962" s="840">
        <f t="shared" si="28"/>
        <v>0</v>
      </c>
      <c r="I962" s="840">
        <f t="shared" si="29"/>
        <v>76000</v>
      </c>
    </row>
    <row r="963" spans="1:9" s="302" customFormat="1" hidden="1">
      <c r="A963" s="1068"/>
      <c r="B963" s="475"/>
      <c r="C963" s="916"/>
      <c r="D963" s="916"/>
      <c r="E963" s="905"/>
      <c r="F963" s="841"/>
      <c r="G963" s="841"/>
      <c r="H963" s="840">
        <f t="shared" si="28"/>
        <v>0</v>
      </c>
      <c r="I963" s="840">
        <f t="shared" si="29"/>
        <v>0</v>
      </c>
    </row>
    <row r="964" spans="1:9" s="302" customFormat="1" hidden="1">
      <c r="A964" s="1068"/>
      <c r="B964" s="475"/>
      <c r="C964" s="916"/>
      <c r="D964" s="916"/>
      <c r="E964" s="905"/>
      <c r="F964" s="841"/>
      <c r="G964" s="841"/>
      <c r="H964" s="840">
        <f t="shared" si="28"/>
        <v>0</v>
      </c>
      <c r="I964" s="840">
        <f t="shared" si="29"/>
        <v>0</v>
      </c>
    </row>
    <row r="965" spans="1:9" s="302" customFormat="1" hidden="1">
      <c r="A965" s="1068"/>
      <c r="B965" s="475"/>
      <c r="C965" s="916"/>
      <c r="D965" s="916"/>
      <c r="E965" s="905"/>
      <c r="F965" s="841"/>
      <c r="G965" s="841"/>
      <c r="H965" s="840">
        <f t="shared" si="28"/>
        <v>0</v>
      </c>
      <c r="I965" s="840">
        <f t="shared" si="29"/>
        <v>0</v>
      </c>
    </row>
    <row r="966" spans="1:9" s="302" customFormat="1" hidden="1">
      <c r="A966" s="1068"/>
      <c r="B966" s="475"/>
      <c r="C966" s="916"/>
      <c r="D966" s="916"/>
      <c r="E966" s="905"/>
      <c r="F966" s="841"/>
      <c r="G966" s="841"/>
      <c r="H966" s="840">
        <f t="shared" si="28"/>
        <v>0</v>
      </c>
      <c r="I966" s="840">
        <f t="shared" si="29"/>
        <v>0</v>
      </c>
    </row>
    <row r="967" spans="1:9" s="302" customFormat="1" hidden="1">
      <c r="A967" s="1068"/>
      <c r="B967" s="475"/>
      <c r="C967" s="916"/>
      <c r="D967" s="916"/>
      <c r="E967" s="905"/>
      <c r="F967" s="841"/>
      <c r="G967" s="841"/>
      <c r="H967" s="840">
        <f t="shared" si="28"/>
        <v>0</v>
      </c>
      <c r="I967" s="840">
        <f t="shared" si="29"/>
        <v>0</v>
      </c>
    </row>
    <row r="968" spans="1:9" s="302" customFormat="1" hidden="1">
      <c r="A968" s="1068"/>
      <c r="B968" s="475"/>
      <c r="C968" s="916"/>
      <c r="D968" s="916"/>
      <c r="E968" s="905"/>
      <c r="F968" s="841"/>
      <c r="G968" s="841"/>
      <c r="H968" s="840">
        <f t="shared" si="28"/>
        <v>0</v>
      </c>
      <c r="I968" s="840">
        <f t="shared" si="29"/>
        <v>0</v>
      </c>
    </row>
    <row r="969" spans="1:9" s="302" customFormat="1" hidden="1">
      <c r="A969" s="1068"/>
      <c r="B969" s="475"/>
      <c r="C969" s="916"/>
      <c r="D969" s="916"/>
      <c r="E969" s="905"/>
      <c r="F969" s="841"/>
      <c r="G969" s="841"/>
      <c r="H969" s="840">
        <f t="shared" ref="H969:H1032" si="30">E969+D969-C969</f>
        <v>0</v>
      </c>
      <c r="I969" s="840">
        <f t="shared" ref="I969:I1032" si="31">SUM(C969:E969)</f>
        <v>0</v>
      </c>
    </row>
    <row r="970" spans="1:9" s="302" customFormat="1" hidden="1">
      <c r="A970" s="1068"/>
      <c r="B970" s="475"/>
      <c r="C970" s="916"/>
      <c r="D970" s="916"/>
      <c r="E970" s="905"/>
      <c r="F970" s="841"/>
      <c r="G970" s="841"/>
      <c r="H970" s="840">
        <f t="shared" si="30"/>
        <v>0</v>
      </c>
      <c r="I970" s="840">
        <f t="shared" si="31"/>
        <v>0</v>
      </c>
    </row>
    <row r="971" spans="1:9" s="302" customFormat="1" hidden="1">
      <c r="A971" s="1068"/>
      <c r="B971" s="475"/>
      <c r="C971" s="916"/>
      <c r="D971" s="916"/>
      <c r="E971" s="905"/>
      <c r="F971" s="841"/>
      <c r="G971" s="841"/>
      <c r="H971" s="840">
        <f t="shared" si="30"/>
        <v>0</v>
      </c>
      <c r="I971" s="840">
        <f t="shared" si="31"/>
        <v>0</v>
      </c>
    </row>
    <row r="972" spans="1:9" s="302" customFormat="1" hidden="1">
      <c r="A972" s="1068"/>
      <c r="B972" s="475"/>
      <c r="C972" s="916"/>
      <c r="D972" s="916"/>
      <c r="E972" s="905"/>
      <c r="F972" s="841"/>
      <c r="G972" s="841"/>
      <c r="H972" s="840">
        <f t="shared" si="30"/>
        <v>0</v>
      </c>
      <c r="I972" s="840">
        <f t="shared" si="31"/>
        <v>0</v>
      </c>
    </row>
    <row r="973" spans="1:9" s="302" customFormat="1" hidden="1">
      <c r="A973" s="1068"/>
      <c r="B973" s="475"/>
      <c r="C973" s="916"/>
      <c r="D973" s="916"/>
      <c r="E973" s="905"/>
      <c r="F973" s="841"/>
      <c r="G973" s="841"/>
      <c r="H973" s="840">
        <f t="shared" si="30"/>
        <v>0</v>
      </c>
      <c r="I973" s="840">
        <f t="shared" si="31"/>
        <v>0</v>
      </c>
    </row>
    <row r="974" spans="1:9" s="302" customFormat="1" hidden="1">
      <c r="A974" s="1068"/>
      <c r="B974" s="475"/>
      <c r="C974" s="916"/>
      <c r="D974" s="916"/>
      <c r="E974" s="905"/>
      <c r="F974" s="841"/>
      <c r="G974" s="841"/>
      <c r="H974" s="840">
        <f t="shared" si="30"/>
        <v>0</v>
      </c>
      <c r="I974" s="840">
        <f t="shared" si="31"/>
        <v>0</v>
      </c>
    </row>
    <row r="975" spans="1:9" s="302" customFormat="1" hidden="1">
      <c r="A975" s="1068"/>
      <c r="B975" s="475"/>
      <c r="C975" s="916"/>
      <c r="D975" s="916"/>
      <c r="E975" s="905"/>
      <c r="F975" s="841"/>
      <c r="G975" s="841"/>
      <c r="H975" s="840">
        <f t="shared" si="30"/>
        <v>0</v>
      </c>
      <c r="I975" s="840">
        <f t="shared" si="31"/>
        <v>0</v>
      </c>
    </row>
    <row r="976" spans="1:9" s="302" customFormat="1" hidden="1">
      <c r="A976" s="1068"/>
      <c r="B976" s="475"/>
      <c r="C976" s="916"/>
      <c r="D976" s="916"/>
      <c r="E976" s="905"/>
      <c r="F976" s="841"/>
      <c r="G976" s="841"/>
      <c r="H976" s="840">
        <f t="shared" si="30"/>
        <v>0</v>
      </c>
      <c r="I976" s="840">
        <f t="shared" si="31"/>
        <v>0</v>
      </c>
    </row>
    <row r="977" spans="1:9" s="302" customFormat="1" hidden="1">
      <c r="A977" s="1068"/>
      <c r="B977" s="475"/>
      <c r="C977" s="916"/>
      <c r="D977" s="916"/>
      <c r="E977" s="905"/>
      <c r="F977" s="841"/>
      <c r="G977" s="841"/>
      <c r="H977" s="840">
        <f t="shared" si="30"/>
        <v>0</v>
      </c>
      <c r="I977" s="840">
        <f t="shared" si="31"/>
        <v>0</v>
      </c>
    </row>
    <row r="978" spans="1:9" s="302" customFormat="1" hidden="1">
      <c r="A978" s="1068"/>
      <c r="B978" s="475"/>
      <c r="C978" s="916"/>
      <c r="D978" s="916"/>
      <c r="E978" s="905"/>
      <c r="F978" s="841"/>
      <c r="G978" s="841"/>
      <c r="H978" s="840">
        <f t="shared" si="30"/>
        <v>0</v>
      </c>
      <c r="I978" s="840">
        <f t="shared" si="31"/>
        <v>0</v>
      </c>
    </row>
    <row r="979" spans="1:9" s="302" customFormat="1" hidden="1">
      <c r="A979" s="1068"/>
      <c r="B979" s="475"/>
      <c r="C979" s="916"/>
      <c r="D979" s="916"/>
      <c r="E979" s="905"/>
      <c r="F979" s="841"/>
      <c r="G979" s="841"/>
      <c r="H979" s="840">
        <f t="shared" si="30"/>
        <v>0</v>
      </c>
      <c r="I979" s="840">
        <f t="shared" si="31"/>
        <v>0</v>
      </c>
    </row>
    <row r="980" spans="1:9" s="302" customFormat="1" hidden="1">
      <c r="A980" s="1068"/>
      <c r="B980" s="475"/>
      <c r="C980" s="916"/>
      <c r="D980" s="916"/>
      <c r="E980" s="905"/>
      <c r="F980" s="841"/>
      <c r="G980" s="841"/>
      <c r="H980" s="840">
        <f t="shared" si="30"/>
        <v>0</v>
      </c>
      <c r="I980" s="840">
        <f t="shared" si="31"/>
        <v>0</v>
      </c>
    </row>
    <row r="981" spans="1:9" s="302" customFormat="1" hidden="1">
      <c r="A981" s="1068"/>
      <c r="B981" s="475"/>
      <c r="C981" s="916"/>
      <c r="D981" s="916"/>
      <c r="E981" s="905"/>
      <c r="F981" s="841"/>
      <c r="G981" s="841"/>
      <c r="H981" s="840">
        <f t="shared" si="30"/>
        <v>0</v>
      </c>
      <c r="I981" s="840">
        <f t="shared" si="31"/>
        <v>0</v>
      </c>
    </row>
    <row r="982" spans="1:9" s="302" customFormat="1" hidden="1">
      <c r="A982" s="1068"/>
      <c r="B982" s="475"/>
      <c r="C982" s="916"/>
      <c r="D982" s="916"/>
      <c r="E982" s="905"/>
      <c r="F982" s="841"/>
      <c r="G982" s="841"/>
      <c r="H982" s="840">
        <f t="shared" si="30"/>
        <v>0</v>
      </c>
      <c r="I982" s="840">
        <f t="shared" si="31"/>
        <v>0</v>
      </c>
    </row>
    <row r="983" spans="1:9" s="302" customFormat="1" hidden="1">
      <c r="A983" s="1068"/>
      <c r="B983" s="475"/>
      <c r="C983" s="916"/>
      <c r="D983" s="916"/>
      <c r="E983" s="905"/>
      <c r="F983" s="841"/>
      <c r="G983" s="841"/>
      <c r="H983" s="840">
        <f t="shared" si="30"/>
        <v>0</v>
      </c>
      <c r="I983" s="840">
        <f t="shared" si="31"/>
        <v>0</v>
      </c>
    </row>
    <row r="984" spans="1:9" s="302" customFormat="1" hidden="1">
      <c r="A984" s="1068"/>
      <c r="B984" s="475"/>
      <c r="C984" s="916"/>
      <c r="D984" s="916"/>
      <c r="E984" s="905"/>
      <c r="F984" s="841"/>
      <c r="G984" s="841"/>
      <c r="H984" s="840">
        <f t="shared" si="30"/>
        <v>0</v>
      </c>
      <c r="I984" s="840">
        <f t="shared" si="31"/>
        <v>0</v>
      </c>
    </row>
    <row r="985" spans="1:9" s="302" customFormat="1" hidden="1">
      <c r="A985" s="1068"/>
      <c r="B985" s="475"/>
      <c r="C985" s="916"/>
      <c r="D985" s="916"/>
      <c r="E985" s="905"/>
      <c r="F985" s="841"/>
      <c r="G985" s="841"/>
      <c r="H985" s="840">
        <f t="shared" si="30"/>
        <v>0</v>
      </c>
      <c r="I985" s="840">
        <f t="shared" si="31"/>
        <v>0</v>
      </c>
    </row>
    <row r="986" spans="1:9" s="302" customFormat="1" hidden="1">
      <c r="A986" s="1068"/>
      <c r="B986" s="475"/>
      <c r="C986" s="916"/>
      <c r="D986" s="916"/>
      <c r="E986" s="905"/>
      <c r="F986" s="841"/>
      <c r="G986" s="841"/>
      <c r="H986" s="840">
        <f t="shared" si="30"/>
        <v>0</v>
      </c>
      <c r="I986" s="840">
        <f t="shared" si="31"/>
        <v>0</v>
      </c>
    </row>
    <row r="987" spans="1:9" s="302" customFormat="1" hidden="1">
      <c r="A987" s="1068"/>
      <c r="B987" s="475"/>
      <c r="C987" s="905"/>
      <c r="D987" s="919"/>
      <c r="E987" s="905"/>
      <c r="F987" s="841"/>
      <c r="G987" s="841"/>
      <c r="H987" s="840">
        <f t="shared" si="30"/>
        <v>0</v>
      </c>
      <c r="I987" s="840">
        <f t="shared" si="31"/>
        <v>0</v>
      </c>
    </row>
    <row r="988" spans="1:9" s="302" customFormat="1" hidden="1">
      <c r="A988" s="1068"/>
      <c r="B988" s="475"/>
      <c r="C988" s="905"/>
      <c r="D988" s="905"/>
      <c r="E988" s="905"/>
      <c r="F988" s="841"/>
      <c r="G988" s="841"/>
      <c r="H988" s="840">
        <f t="shared" si="30"/>
        <v>0</v>
      </c>
      <c r="I988" s="840">
        <f t="shared" si="31"/>
        <v>0</v>
      </c>
    </row>
    <row r="989" spans="1:9" s="302" customFormat="1" hidden="1">
      <c r="A989" s="1068"/>
      <c r="B989" s="863"/>
      <c r="C989" s="905"/>
      <c r="D989" s="905"/>
      <c r="E989" s="905"/>
      <c r="F989" s="841"/>
      <c r="G989" s="841"/>
      <c r="H989" s="840">
        <f t="shared" si="30"/>
        <v>0</v>
      </c>
      <c r="I989" s="840">
        <f t="shared" si="31"/>
        <v>0</v>
      </c>
    </row>
    <row r="990" spans="1:9" s="302" customFormat="1" ht="18" hidden="1" customHeight="1">
      <c r="A990" s="1071"/>
      <c r="B990" s="893"/>
      <c r="C990" s="922"/>
      <c r="D990" s="922"/>
      <c r="E990" s="923"/>
      <c r="F990" s="841"/>
      <c r="G990" s="841"/>
      <c r="H990" s="840">
        <f t="shared" si="30"/>
        <v>0</v>
      </c>
      <c r="I990" s="840">
        <f t="shared" si="31"/>
        <v>0</v>
      </c>
    </row>
    <row r="991" spans="1:9" s="302" customFormat="1" ht="18" hidden="1" customHeight="1">
      <c r="A991" s="1071"/>
      <c r="B991" s="887"/>
      <c r="C991" s="916"/>
      <c r="D991" s="916"/>
      <c r="E991" s="907"/>
      <c r="F991" s="841"/>
      <c r="G991" s="841"/>
      <c r="H991" s="840">
        <f t="shared" si="30"/>
        <v>0</v>
      </c>
      <c r="I991" s="840">
        <f t="shared" si="31"/>
        <v>0</v>
      </c>
    </row>
    <row r="992" spans="1:9" s="302" customFormat="1" ht="18" hidden="1" customHeight="1">
      <c r="A992" s="1071"/>
      <c r="B992" s="887"/>
      <c r="C992" s="916"/>
      <c r="D992" s="916"/>
      <c r="E992" s="907"/>
      <c r="F992" s="841"/>
      <c r="G992" s="841"/>
      <c r="H992" s="840">
        <f t="shared" si="30"/>
        <v>0</v>
      </c>
      <c r="I992" s="840">
        <f t="shared" si="31"/>
        <v>0</v>
      </c>
    </row>
    <row r="993" spans="1:9" s="302" customFormat="1" ht="18" hidden="1" customHeight="1">
      <c r="A993" s="1071"/>
      <c r="B993" s="887"/>
      <c r="C993" s="916"/>
      <c r="D993" s="916"/>
      <c r="E993" s="907"/>
      <c r="F993" s="841"/>
      <c r="G993" s="841"/>
      <c r="H993" s="840">
        <f t="shared" si="30"/>
        <v>0</v>
      </c>
      <c r="I993" s="840">
        <f t="shared" si="31"/>
        <v>0</v>
      </c>
    </row>
    <row r="994" spans="1:9" s="302" customFormat="1" ht="18" hidden="1" customHeight="1">
      <c r="A994" s="1071"/>
      <c r="B994" s="475"/>
      <c r="C994" s="916"/>
      <c r="D994" s="916"/>
      <c r="E994" s="905"/>
      <c r="F994" s="841"/>
      <c r="G994" s="841"/>
      <c r="H994" s="840">
        <f t="shared" si="30"/>
        <v>0</v>
      </c>
      <c r="I994" s="840">
        <f t="shared" si="31"/>
        <v>0</v>
      </c>
    </row>
    <row r="995" spans="1:9" s="302" customFormat="1" ht="18" hidden="1" customHeight="1">
      <c r="A995" s="1071"/>
      <c r="B995" s="475"/>
      <c r="C995" s="916"/>
      <c r="D995" s="916"/>
      <c r="E995" s="905"/>
      <c r="F995" s="841"/>
      <c r="G995" s="841"/>
      <c r="H995" s="840">
        <f t="shared" si="30"/>
        <v>0</v>
      </c>
      <c r="I995" s="840">
        <f t="shared" si="31"/>
        <v>0</v>
      </c>
    </row>
    <row r="996" spans="1:9" s="302" customFormat="1" ht="18" hidden="1" customHeight="1">
      <c r="A996" s="1071"/>
      <c r="B996" s="475"/>
      <c r="C996" s="916"/>
      <c r="D996" s="916"/>
      <c r="E996" s="905"/>
      <c r="F996" s="841"/>
      <c r="G996" s="841"/>
      <c r="H996" s="840">
        <f t="shared" si="30"/>
        <v>0</v>
      </c>
      <c r="I996" s="840">
        <f t="shared" si="31"/>
        <v>0</v>
      </c>
    </row>
    <row r="997" spans="1:9" s="302" customFormat="1" ht="18" hidden="1" customHeight="1">
      <c r="A997" s="1071"/>
      <c r="B997" s="864"/>
      <c r="C997" s="917"/>
      <c r="D997" s="917"/>
      <c r="E997" s="918"/>
      <c r="F997" s="841"/>
      <c r="G997" s="841"/>
      <c r="H997" s="840">
        <f t="shared" si="30"/>
        <v>0</v>
      </c>
      <c r="I997" s="840">
        <f t="shared" si="31"/>
        <v>0</v>
      </c>
    </row>
    <row r="998" spans="1:9">
      <c r="A998" s="1081"/>
      <c r="B998" s="461" t="s">
        <v>253</v>
      </c>
      <c r="C998" s="919">
        <f>SUM(C920:C997)</f>
        <v>2390805</v>
      </c>
      <c r="D998" s="919">
        <f>SUM(D920:D997)</f>
        <v>1193318</v>
      </c>
      <c r="E998" s="919">
        <f>SUM(E920:E997)</f>
        <v>1197487</v>
      </c>
      <c r="F998" s="850">
        <f>SUM(F920:F946)</f>
        <v>0</v>
      </c>
      <c r="G998" s="851">
        <f>SUM(G920:G946)</f>
        <v>0</v>
      </c>
      <c r="H998" s="840">
        <f t="shared" si="30"/>
        <v>0</v>
      </c>
      <c r="I998" s="840">
        <f t="shared" si="31"/>
        <v>4781610</v>
      </c>
    </row>
    <row r="999" spans="1:9" ht="75">
      <c r="A999" s="1081" t="s">
        <v>313</v>
      </c>
      <c r="B999" s="887" t="s">
        <v>952</v>
      </c>
      <c r="C999" s="907">
        <v>611000</v>
      </c>
      <c r="D999" s="530">
        <v>611000</v>
      </c>
      <c r="E999" s="907"/>
      <c r="F999" s="854"/>
      <c r="G999" s="854"/>
      <c r="H999" s="840">
        <f t="shared" si="30"/>
        <v>0</v>
      </c>
      <c r="I999" s="840">
        <f t="shared" si="31"/>
        <v>1222000</v>
      </c>
    </row>
    <row r="1000" spans="1:9" ht="56.25">
      <c r="A1000" s="1081"/>
      <c r="B1000" s="475" t="s">
        <v>1085</v>
      </c>
      <c r="C1000" s="905">
        <v>50000</v>
      </c>
      <c r="D1000" s="905">
        <v>40000</v>
      </c>
      <c r="E1000" s="905">
        <v>10000</v>
      </c>
      <c r="F1000" s="854"/>
      <c r="G1000" s="854"/>
      <c r="H1000" s="840">
        <f t="shared" si="30"/>
        <v>0</v>
      </c>
      <c r="I1000" s="840">
        <f t="shared" si="31"/>
        <v>100000</v>
      </c>
    </row>
    <row r="1001" spans="1:9" ht="56.25">
      <c r="A1001" s="1081"/>
      <c r="B1001" s="475" t="s">
        <v>1086</v>
      </c>
      <c r="C1001" s="905">
        <v>350000</v>
      </c>
      <c r="D1001" s="905"/>
      <c r="E1001" s="905">
        <v>350000</v>
      </c>
      <c r="F1001" s="841"/>
      <c r="G1001" s="841"/>
      <c r="H1001" s="840">
        <f t="shared" si="30"/>
        <v>0</v>
      </c>
      <c r="I1001" s="840">
        <f t="shared" si="31"/>
        <v>700000</v>
      </c>
    </row>
    <row r="1002" spans="1:9" ht="56.25">
      <c r="A1002" s="1081"/>
      <c r="B1002" s="475" t="s">
        <v>1267</v>
      </c>
      <c r="C1002" s="905">
        <v>30000</v>
      </c>
      <c r="D1002" s="905">
        <v>30000</v>
      </c>
      <c r="E1002" s="932"/>
      <c r="F1002" s="841"/>
      <c r="G1002" s="841"/>
      <c r="H1002" s="840">
        <f t="shared" si="30"/>
        <v>0</v>
      </c>
      <c r="I1002" s="840">
        <f t="shared" si="31"/>
        <v>60000</v>
      </c>
    </row>
    <row r="1003" spans="1:9" ht="56.25">
      <c r="A1003" s="1081"/>
      <c r="B1003" s="475" t="s">
        <v>1268</v>
      </c>
      <c r="C1003" s="530">
        <v>15000</v>
      </c>
      <c r="D1003" s="530">
        <v>15000</v>
      </c>
      <c r="E1003" s="905"/>
      <c r="F1003" s="841"/>
      <c r="G1003" s="841"/>
      <c r="H1003" s="840">
        <f t="shared" si="30"/>
        <v>0</v>
      </c>
      <c r="I1003" s="840">
        <f t="shared" si="31"/>
        <v>30000</v>
      </c>
    </row>
    <row r="1004" spans="1:9" ht="75">
      <c r="A1004" s="1081"/>
      <c r="B1004" s="475" t="s">
        <v>2297</v>
      </c>
      <c r="C1004" s="530">
        <v>50000</v>
      </c>
      <c r="D1004" s="530">
        <v>50000</v>
      </c>
      <c r="E1004" s="905"/>
      <c r="F1004" s="841"/>
      <c r="G1004" s="841"/>
      <c r="H1004" s="840">
        <f t="shared" si="30"/>
        <v>0</v>
      </c>
      <c r="I1004" s="840">
        <f t="shared" si="31"/>
        <v>100000</v>
      </c>
    </row>
    <row r="1005" spans="1:9" ht="56.25">
      <c r="A1005" s="1081"/>
      <c r="B1005" s="475" t="s">
        <v>1269</v>
      </c>
      <c r="C1005" s="530">
        <v>15000</v>
      </c>
      <c r="D1005" s="530">
        <v>15000</v>
      </c>
      <c r="E1005" s="905"/>
      <c r="F1005" s="841"/>
      <c r="G1005" s="841"/>
      <c r="H1005" s="840">
        <f t="shared" si="30"/>
        <v>0</v>
      </c>
      <c r="I1005" s="840">
        <f t="shared" si="31"/>
        <v>30000</v>
      </c>
    </row>
    <row r="1006" spans="1:9" ht="56.25">
      <c r="A1006" s="1081"/>
      <c r="B1006" s="475" t="s">
        <v>1270</v>
      </c>
      <c r="C1006" s="530">
        <v>16000</v>
      </c>
      <c r="D1006" s="530">
        <v>16000</v>
      </c>
      <c r="E1006" s="905"/>
      <c r="F1006" s="841"/>
      <c r="G1006" s="841"/>
      <c r="H1006" s="840">
        <f t="shared" si="30"/>
        <v>0</v>
      </c>
      <c r="I1006" s="840">
        <f t="shared" si="31"/>
        <v>32000</v>
      </c>
    </row>
    <row r="1007" spans="1:9" ht="37.5">
      <c r="A1007" s="1081"/>
      <c r="B1007" s="475" t="s">
        <v>1271</v>
      </c>
      <c r="C1007" s="530">
        <v>28000</v>
      </c>
      <c r="D1007" s="530"/>
      <c r="E1007" s="530">
        <v>28000</v>
      </c>
      <c r="F1007" s="841"/>
      <c r="G1007" s="841"/>
      <c r="H1007" s="840">
        <f t="shared" si="30"/>
        <v>0</v>
      </c>
      <c r="I1007" s="840">
        <f t="shared" si="31"/>
        <v>56000</v>
      </c>
    </row>
    <row r="1008" spans="1:9" ht="37.5">
      <c r="A1008" s="1081"/>
      <c r="B1008" s="475" t="s">
        <v>1272</v>
      </c>
      <c r="C1008" s="530">
        <v>10000</v>
      </c>
      <c r="D1008" s="530"/>
      <c r="E1008" s="530">
        <v>10000</v>
      </c>
      <c r="F1008" s="841"/>
      <c r="G1008" s="841"/>
      <c r="H1008" s="840">
        <f t="shared" si="30"/>
        <v>0</v>
      </c>
      <c r="I1008" s="840">
        <f t="shared" si="31"/>
        <v>20000</v>
      </c>
    </row>
    <row r="1009" spans="1:9" ht="56.25">
      <c r="A1009" s="1081"/>
      <c r="B1009" s="475" t="s">
        <v>1273</v>
      </c>
      <c r="C1009" s="530">
        <v>10000</v>
      </c>
      <c r="D1009" s="530"/>
      <c r="E1009" s="530">
        <v>10000</v>
      </c>
      <c r="F1009" s="841"/>
      <c r="G1009" s="841"/>
      <c r="H1009" s="840">
        <f t="shared" si="30"/>
        <v>0</v>
      </c>
      <c r="I1009" s="840">
        <f t="shared" si="31"/>
        <v>20000</v>
      </c>
    </row>
    <row r="1010" spans="1:9" ht="93.75">
      <c r="A1010" s="1081"/>
      <c r="B1010" s="475" t="s">
        <v>1274</v>
      </c>
      <c r="C1010" s="530">
        <v>35000</v>
      </c>
      <c r="D1010" s="530">
        <v>17400</v>
      </c>
      <c r="E1010" s="530">
        <v>17600</v>
      </c>
      <c r="F1010" s="841"/>
      <c r="G1010" s="841"/>
      <c r="H1010" s="840">
        <f t="shared" si="30"/>
        <v>0</v>
      </c>
      <c r="I1010" s="840">
        <f t="shared" si="31"/>
        <v>70000</v>
      </c>
    </row>
    <row r="1011" spans="1:9" ht="75">
      <c r="A1011" s="1081"/>
      <c r="B1011" s="475" t="s">
        <v>1275</v>
      </c>
      <c r="C1011" s="530">
        <v>6000</v>
      </c>
      <c r="D1011" s="530">
        <v>6000</v>
      </c>
      <c r="E1011" s="905"/>
      <c r="F1011" s="841"/>
      <c r="G1011" s="841"/>
      <c r="H1011" s="840">
        <f t="shared" si="30"/>
        <v>0</v>
      </c>
      <c r="I1011" s="840">
        <f t="shared" si="31"/>
        <v>12000</v>
      </c>
    </row>
    <row r="1012" spans="1:9" ht="56.25">
      <c r="A1012" s="1081"/>
      <c r="B1012" s="475" t="s">
        <v>1276</v>
      </c>
      <c r="C1012" s="530">
        <v>10000</v>
      </c>
      <c r="D1012" s="530">
        <v>10000</v>
      </c>
      <c r="E1012" s="905"/>
      <c r="F1012" s="841"/>
      <c r="G1012" s="841"/>
      <c r="H1012" s="840">
        <f t="shared" si="30"/>
        <v>0</v>
      </c>
      <c r="I1012" s="840">
        <f t="shared" si="31"/>
        <v>20000</v>
      </c>
    </row>
    <row r="1013" spans="1:9" ht="75">
      <c r="A1013" s="1081"/>
      <c r="B1013" s="475" t="s">
        <v>1277</v>
      </c>
      <c r="C1013" s="530">
        <v>16278</v>
      </c>
      <c r="D1013" s="530">
        <v>16278</v>
      </c>
      <c r="E1013" s="905"/>
      <c r="F1013" s="841"/>
      <c r="G1013" s="841"/>
      <c r="H1013" s="840">
        <f t="shared" si="30"/>
        <v>0</v>
      </c>
      <c r="I1013" s="840">
        <f t="shared" si="31"/>
        <v>32556</v>
      </c>
    </row>
    <row r="1014" spans="1:9" ht="37.5">
      <c r="A1014" s="1081"/>
      <c r="B1014" s="475" t="s">
        <v>1278</v>
      </c>
      <c r="C1014" s="530">
        <v>50000</v>
      </c>
      <c r="D1014" s="530">
        <v>50000</v>
      </c>
      <c r="E1014" s="905"/>
      <c r="F1014" s="841"/>
      <c r="G1014" s="841"/>
      <c r="H1014" s="840">
        <f t="shared" si="30"/>
        <v>0</v>
      </c>
      <c r="I1014" s="840">
        <f t="shared" si="31"/>
        <v>100000</v>
      </c>
    </row>
    <row r="1015" spans="1:9" ht="75">
      <c r="A1015" s="1081"/>
      <c r="B1015" s="475" t="s">
        <v>1776</v>
      </c>
      <c r="C1015" s="908">
        <v>30000</v>
      </c>
      <c r="D1015" s="908"/>
      <c r="E1015" s="905">
        <v>30000</v>
      </c>
      <c r="F1015" s="841"/>
      <c r="G1015" s="841"/>
      <c r="H1015" s="840">
        <f t="shared" si="30"/>
        <v>0</v>
      </c>
      <c r="I1015" s="840">
        <f t="shared" si="31"/>
        <v>60000</v>
      </c>
    </row>
    <row r="1016" spans="1:9" ht="75">
      <c r="A1016" s="1081"/>
      <c r="B1016" s="475" t="s">
        <v>1777</v>
      </c>
      <c r="C1016" s="908">
        <v>2000</v>
      </c>
      <c r="D1016" s="908">
        <v>2000</v>
      </c>
      <c r="E1016" s="905"/>
      <c r="F1016" s="841"/>
      <c r="G1016" s="841"/>
      <c r="H1016" s="840">
        <f t="shared" si="30"/>
        <v>0</v>
      </c>
      <c r="I1016" s="840">
        <f t="shared" si="31"/>
        <v>4000</v>
      </c>
    </row>
    <row r="1017" spans="1:9" ht="75">
      <c r="A1017" s="1081"/>
      <c r="B1017" s="475" t="s">
        <v>1778</v>
      </c>
      <c r="C1017" s="908">
        <v>18000</v>
      </c>
      <c r="D1017" s="908">
        <v>6000</v>
      </c>
      <c r="E1017" s="905">
        <v>12000</v>
      </c>
      <c r="F1017" s="841"/>
      <c r="G1017" s="841"/>
      <c r="H1017" s="840">
        <f t="shared" si="30"/>
        <v>0</v>
      </c>
      <c r="I1017" s="840">
        <f t="shared" si="31"/>
        <v>36000</v>
      </c>
    </row>
    <row r="1018" spans="1:9" ht="93.75">
      <c r="A1018" s="1081"/>
      <c r="B1018" s="475" t="s">
        <v>1779</v>
      </c>
      <c r="C1018" s="908">
        <v>15000</v>
      </c>
      <c r="D1018" s="908"/>
      <c r="E1018" s="905">
        <v>15000</v>
      </c>
      <c r="F1018" s="841"/>
      <c r="G1018" s="841"/>
      <c r="H1018" s="840">
        <f t="shared" si="30"/>
        <v>0</v>
      </c>
      <c r="I1018" s="840">
        <f t="shared" si="31"/>
        <v>30000</v>
      </c>
    </row>
    <row r="1019" spans="1:9" ht="75">
      <c r="A1019" s="1081"/>
      <c r="B1019" s="475" t="s">
        <v>1780</v>
      </c>
      <c r="C1019" s="908">
        <v>20000</v>
      </c>
      <c r="D1019" s="908">
        <v>20000</v>
      </c>
      <c r="E1019" s="905"/>
      <c r="F1019" s="841"/>
      <c r="G1019" s="841"/>
      <c r="H1019" s="840">
        <f t="shared" si="30"/>
        <v>0</v>
      </c>
      <c r="I1019" s="840">
        <f t="shared" si="31"/>
        <v>40000</v>
      </c>
    </row>
    <row r="1020" spans="1:9" ht="56.25">
      <c r="A1020" s="1081"/>
      <c r="B1020" s="475" t="s">
        <v>1781</v>
      </c>
      <c r="C1020" s="908">
        <v>55000</v>
      </c>
      <c r="D1020" s="908">
        <v>55000</v>
      </c>
      <c r="E1020" s="905"/>
      <c r="F1020" s="841"/>
      <c r="G1020" s="841"/>
      <c r="H1020" s="840">
        <f t="shared" si="30"/>
        <v>0</v>
      </c>
      <c r="I1020" s="840">
        <f t="shared" si="31"/>
        <v>110000</v>
      </c>
    </row>
    <row r="1021" spans="1:9" ht="75">
      <c r="A1021" s="1081"/>
      <c r="B1021" s="475" t="s">
        <v>1782</v>
      </c>
      <c r="C1021" s="908">
        <v>10000</v>
      </c>
      <c r="D1021" s="908">
        <v>10000</v>
      </c>
      <c r="E1021" s="905"/>
      <c r="F1021" s="841"/>
      <c r="G1021" s="841"/>
      <c r="H1021" s="840">
        <f t="shared" si="30"/>
        <v>0</v>
      </c>
      <c r="I1021" s="840">
        <f t="shared" si="31"/>
        <v>20000</v>
      </c>
    </row>
    <row r="1022" spans="1:9" ht="56.25">
      <c r="A1022" s="1081"/>
      <c r="B1022" s="475" t="s">
        <v>1783</v>
      </c>
      <c r="C1022" s="908">
        <v>17000</v>
      </c>
      <c r="D1022" s="908">
        <v>17000</v>
      </c>
      <c r="E1022" s="905"/>
      <c r="F1022" s="841"/>
      <c r="G1022" s="841"/>
      <c r="H1022" s="840">
        <f t="shared" si="30"/>
        <v>0</v>
      </c>
      <c r="I1022" s="840">
        <f t="shared" si="31"/>
        <v>34000</v>
      </c>
    </row>
    <row r="1023" spans="1:9" ht="75">
      <c r="A1023" s="1081"/>
      <c r="B1023" s="475" t="s">
        <v>1784</v>
      </c>
      <c r="C1023" s="908">
        <v>15000</v>
      </c>
      <c r="D1023" s="908">
        <v>15000</v>
      </c>
      <c r="E1023" s="905"/>
      <c r="F1023" s="841"/>
      <c r="G1023" s="841"/>
      <c r="H1023" s="840">
        <f t="shared" si="30"/>
        <v>0</v>
      </c>
      <c r="I1023" s="840">
        <f t="shared" si="31"/>
        <v>30000</v>
      </c>
    </row>
    <row r="1024" spans="1:9" ht="75">
      <c r="A1024" s="1081"/>
      <c r="B1024" s="475" t="s">
        <v>1785</v>
      </c>
      <c r="C1024" s="908">
        <v>15000</v>
      </c>
      <c r="D1024" s="908">
        <v>15000</v>
      </c>
      <c r="E1024" s="905"/>
      <c r="F1024" s="841"/>
      <c r="G1024" s="841"/>
      <c r="H1024" s="840">
        <f t="shared" si="30"/>
        <v>0</v>
      </c>
      <c r="I1024" s="840">
        <f t="shared" si="31"/>
        <v>30000</v>
      </c>
    </row>
    <row r="1025" spans="1:9" ht="75">
      <c r="A1025" s="1081"/>
      <c r="B1025" s="475" t="s">
        <v>1893</v>
      </c>
      <c r="C1025" s="911">
        <v>100000</v>
      </c>
      <c r="D1025" s="911">
        <v>60000</v>
      </c>
      <c r="E1025" s="911">
        <v>40000</v>
      </c>
      <c r="F1025" s="841"/>
      <c r="G1025" s="841"/>
      <c r="H1025" s="840">
        <f t="shared" si="30"/>
        <v>0</v>
      </c>
      <c r="I1025" s="840">
        <f t="shared" si="31"/>
        <v>200000</v>
      </c>
    </row>
    <row r="1026" spans="1:9" ht="56.25">
      <c r="A1026" s="1081"/>
      <c r="B1026" s="475" t="s">
        <v>1894</v>
      </c>
      <c r="C1026" s="911">
        <v>300000</v>
      </c>
      <c r="D1026" s="911"/>
      <c r="E1026" s="911">
        <v>300000</v>
      </c>
      <c r="F1026" s="841"/>
      <c r="G1026" s="841"/>
      <c r="H1026" s="840">
        <f t="shared" si="30"/>
        <v>0</v>
      </c>
      <c r="I1026" s="840">
        <f t="shared" si="31"/>
        <v>600000</v>
      </c>
    </row>
    <row r="1027" spans="1:9" ht="37.5">
      <c r="A1027" s="1081"/>
      <c r="B1027" s="475" t="s">
        <v>1895</v>
      </c>
      <c r="C1027" s="911">
        <v>22000</v>
      </c>
      <c r="D1027" s="911"/>
      <c r="E1027" s="911">
        <v>22000</v>
      </c>
      <c r="F1027" s="841"/>
      <c r="G1027" s="841"/>
      <c r="H1027" s="840">
        <f t="shared" si="30"/>
        <v>0</v>
      </c>
      <c r="I1027" s="840">
        <f t="shared" si="31"/>
        <v>44000</v>
      </c>
    </row>
    <row r="1028" spans="1:9" ht="56.25">
      <c r="A1028" s="1081"/>
      <c r="B1028" s="475" t="s">
        <v>1269</v>
      </c>
      <c r="C1028" s="905">
        <v>15000</v>
      </c>
      <c r="D1028" s="932">
        <v>15000</v>
      </c>
      <c r="E1028" s="932"/>
      <c r="F1028" s="841"/>
      <c r="G1028" s="841"/>
      <c r="H1028" s="840">
        <f t="shared" si="30"/>
        <v>0</v>
      </c>
      <c r="I1028" s="840">
        <f t="shared" si="31"/>
        <v>30000</v>
      </c>
    </row>
    <row r="1029" spans="1:9" ht="37.5">
      <c r="A1029" s="1081"/>
      <c r="B1029" s="475" t="s">
        <v>2033</v>
      </c>
      <c r="C1029" s="908">
        <v>12000</v>
      </c>
      <c r="D1029" s="908"/>
      <c r="E1029" s="905">
        <v>12000</v>
      </c>
      <c r="F1029" s="841"/>
      <c r="G1029" s="841"/>
      <c r="H1029" s="840">
        <f t="shared" si="30"/>
        <v>0</v>
      </c>
      <c r="I1029" s="840">
        <f t="shared" si="31"/>
        <v>24000</v>
      </c>
    </row>
    <row r="1030" spans="1:9" ht="37.5">
      <c r="A1030" s="1081"/>
      <c r="B1030" s="475" t="s">
        <v>2034</v>
      </c>
      <c r="C1030" s="908">
        <v>12000</v>
      </c>
      <c r="D1030" s="908"/>
      <c r="E1030" s="905">
        <v>12000</v>
      </c>
      <c r="F1030" s="841"/>
      <c r="G1030" s="841"/>
      <c r="H1030" s="840">
        <f t="shared" si="30"/>
        <v>0</v>
      </c>
      <c r="I1030" s="840">
        <f t="shared" si="31"/>
        <v>24000</v>
      </c>
    </row>
    <row r="1031" spans="1:9" ht="56.25">
      <c r="A1031" s="1081"/>
      <c r="B1031" s="475" t="s">
        <v>2035</v>
      </c>
      <c r="C1031" s="908">
        <v>15000</v>
      </c>
      <c r="D1031" s="908"/>
      <c r="E1031" s="905">
        <v>15000</v>
      </c>
      <c r="F1031" s="841"/>
      <c r="G1031" s="841"/>
      <c r="H1031" s="840">
        <f t="shared" si="30"/>
        <v>0</v>
      </c>
      <c r="I1031" s="840">
        <f t="shared" si="31"/>
        <v>30000</v>
      </c>
    </row>
    <row r="1032" spans="1:9" ht="37.5">
      <c r="A1032" s="1081"/>
      <c r="B1032" s="475" t="s">
        <v>2036</v>
      </c>
      <c r="C1032" s="908">
        <f>20000-9000</f>
        <v>11000</v>
      </c>
      <c r="D1032" s="908">
        <f>20000-9000</f>
        <v>11000</v>
      </c>
      <c r="E1032" s="905"/>
      <c r="F1032" s="841"/>
      <c r="G1032" s="841"/>
      <c r="H1032" s="840">
        <f t="shared" si="30"/>
        <v>0</v>
      </c>
      <c r="I1032" s="840">
        <f t="shared" si="31"/>
        <v>22000</v>
      </c>
    </row>
    <row r="1033" spans="1:9" ht="56.25">
      <c r="A1033" s="1081"/>
      <c r="B1033" s="475" t="s">
        <v>3059</v>
      </c>
      <c r="C1033" s="905">
        <v>9000</v>
      </c>
      <c r="D1033" s="905">
        <v>9000</v>
      </c>
      <c r="E1033" s="905"/>
      <c r="F1033" s="841"/>
      <c r="G1033" s="841"/>
      <c r="H1033" s="840">
        <f t="shared" ref="H1033:H1096" si="32">E1033+D1033-C1033</f>
        <v>0</v>
      </c>
      <c r="I1033" s="840">
        <f t="shared" ref="I1033:I1096" si="33">SUM(C1033:E1033)</f>
        <v>18000</v>
      </c>
    </row>
    <row r="1034" spans="1:9" ht="112.5">
      <c r="A1034" s="1081"/>
      <c r="B1034" s="475" t="s">
        <v>2391</v>
      </c>
      <c r="C1034" s="908">
        <v>30000</v>
      </c>
      <c r="D1034" s="908">
        <v>30000</v>
      </c>
      <c r="E1034" s="905"/>
      <c r="F1034" s="841"/>
      <c r="G1034" s="841"/>
      <c r="H1034" s="840">
        <f t="shared" si="32"/>
        <v>0</v>
      </c>
      <c r="I1034" s="840">
        <f t="shared" si="33"/>
        <v>60000</v>
      </c>
    </row>
    <row r="1035" spans="1:9" ht="112.5">
      <c r="A1035" s="1081"/>
      <c r="B1035" s="475" t="s">
        <v>2037</v>
      </c>
      <c r="C1035" s="908">
        <v>10000</v>
      </c>
      <c r="D1035" s="908">
        <v>10000</v>
      </c>
      <c r="E1035" s="905"/>
      <c r="F1035" s="841"/>
      <c r="G1035" s="841"/>
      <c r="H1035" s="840">
        <f t="shared" si="32"/>
        <v>0</v>
      </c>
      <c r="I1035" s="840">
        <f t="shared" si="33"/>
        <v>20000</v>
      </c>
    </row>
    <row r="1036" spans="1:9" ht="37.5">
      <c r="A1036" s="1081"/>
      <c r="B1036" s="475" t="s">
        <v>2038</v>
      </c>
      <c r="C1036" s="908">
        <v>6728</v>
      </c>
      <c r="D1036" s="908"/>
      <c r="E1036" s="905">
        <v>6728</v>
      </c>
      <c r="F1036" s="841"/>
      <c r="G1036" s="841"/>
      <c r="H1036" s="840">
        <f t="shared" si="32"/>
        <v>0</v>
      </c>
      <c r="I1036" s="840">
        <f t="shared" si="33"/>
        <v>13456</v>
      </c>
    </row>
    <row r="1037" spans="1:9" ht="56.25">
      <c r="A1037" s="1081"/>
      <c r="B1037" s="475" t="s">
        <v>2039</v>
      </c>
      <c r="C1037" s="908">
        <v>15000</v>
      </c>
      <c r="D1037" s="908">
        <v>3000</v>
      </c>
      <c r="E1037" s="905">
        <v>12000</v>
      </c>
      <c r="F1037" s="841"/>
      <c r="G1037" s="841"/>
      <c r="H1037" s="840">
        <f t="shared" si="32"/>
        <v>0</v>
      </c>
      <c r="I1037" s="840">
        <f t="shared" si="33"/>
        <v>30000</v>
      </c>
    </row>
    <row r="1038" spans="1:9" ht="56.25">
      <c r="A1038" s="1081"/>
      <c r="B1038" s="475" t="s">
        <v>2040</v>
      </c>
      <c r="C1038" s="908">
        <v>10000</v>
      </c>
      <c r="D1038" s="908"/>
      <c r="E1038" s="905">
        <v>10000</v>
      </c>
      <c r="F1038" s="841"/>
      <c r="G1038" s="841"/>
      <c r="H1038" s="840">
        <f t="shared" si="32"/>
        <v>0</v>
      </c>
      <c r="I1038" s="840">
        <f t="shared" si="33"/>
        <v>20000</v>
      </c>
    </row>
    <row r="1039" spans="1:9" ht="56.25">
      <c r="A1039" s="1081"/>
      <c r="B1039" s="475" t="s">
        <v>2041</v>
      </c>
      <c r="C1039" s="908">
        <v>20000</v>
      </c>
      <c r="D1039" s="908">
        <v>20000</v>
      </c>
      <c r="E1039" s="905"/>
      <c r="F1039" s="841"/>
      <c r="G1039" s="841"/>
      <c r="H1039" s="840">
        <f t="shared" si="32"/>
        <v>0</v>
      </c>
      <c r="I1039" s="840">
        <f t="shared" si="33"/>
        <v>40000</v>
      </c>
    </row>
    <row r="1040" spans="1:9" ht="56.25">
      <c r="A1040" s="1081"/>
      <c r="B1040" s="475" t="s">
        <v>2042</v>
      </c>
      <c r="C1040" s="908">
        <v>12000</v>
      </c>
      <c r="D1040" s="908"/>
      <c r="E1040" s="905">
        <v>12000</v>
      </c>
      <c r="F1040" s="841"/>
      <c r="G1040" s="841"/>
      <c r="H1040" s="840">
        <f t="shared" si="32"/>
        <v>0</v>
      </c>
      <c r="I1040" s="840">
        <f t="shared" si="33"/>
        <v>24000</v>
      </c>
    </row>
    <row r="1041" spans="1:9" ht="75">
      <c r="A1041" s="1081"/>
      <c r="B1041" s="475" t="s">
        <v>2043</v>
      </c>
      <c r="C1041" s="908">
        <v>5000</v>
      </c>
      <c r="D1041" s="908"/>
      <c r="E1041" s="905">
        <v>5000</v>
      </c>
      <c r="F1041" s="841"/>
      <c r="G1041" s="841"/>
      <c r="H1041" s="840">
        <f t="shared" si="32"/>
        <v>0</v>
      </c>
      <c r="I1041" s="840">
        <f t="shared" si="33"/>
        <v>10000</v>
      </c>
    </row>
    <row r="1042" spans="1:9" ht="37.5">
      <c r="A1042" s="1081"/>
      <c r="B1042" s="475" t="s">
        <v>2044</v>
      </c>
      <c r="C1042" s="908">
        <v>10605</v>
      </c>
      <c r="D1042" s="908"/>
      <c r="E1042" s="905">
        <v>10605</v>
      </c>
      <c r="F1042" s="841"/>
      <c r="G1042" s="841"/>
      <c r="H1042" s="840">
        <f t="shared" si="32"/>
        <v>0</v>
      </c>
      <c r="I1042" s="840">
        <f t="shared" si="33"/>
        <v>21210</v>
      </c>
    </row>
    <row r="1043" spans="1:9" ht="37.5">
      <c r="A1043" s="1081"/>
      <c r="B1043" s="475" t="s">
        <v>2045</v>
      </c>
      <c r="C1043" s="908">
        <v>5000</v>
      </c>
      <c r="D1043" s="908">
        <v>5000</v>
      </c>
      <c r="E1043" s="905"/>
      <c r="F1043" s="841"/>
      <c r="G1043" s="841"/>
      <c r="H1043" s="840">
        <f t="shared" si="32"/>
        <v>0</v>
      </c>
      <c r="I1043" s="840">
        <f t="shared" si="33"/>
        <v>10000</v>
      </c>
    </row>
    <row r="1044" spans="1:9" ht="112.5">
      <c r="A1044" s="1081"/>
      <c r="B1044" s="475" t="s">
        <v>2046</v>
      </c>
      <c r="C1044" s="908">
        <v>2590</v>
      </c>
      <c r="D1044" s="908">
        <v>2590</v>
      </c>
      <c r="E1044" s="905"/>
      <c r="F1044" s="841"/>
      <c r="G1044" s="841"/>
      <c r="H1044" s="840">
        <f t="shared" si="32"/>
        <v>0</v>
      </c>
      <c r="I1044" s="840">
        <f t="shared" si="33"/>
        <v>5180</v>
      </c>
    </row>
    <row r="1045" spans="1:9" ht="56.25">
      <c r="A1045" s="1081"/>
      <c r="B1045" s="475" t="s">
        <v>2047</v>
      </c>
      <c r="C1045" s="908">
        <v>16700</v>
      </c>
      <c r="D1045" s="908">
        <v>16700</v>
      </c>
      <c r="E1045" s="905"/>
      <c r="F1045" s="841"/>
      <c r="G1045" s="841"/>
      <c r="H1045" s="840">
        <f t="shared" si="32"/>
        <v>0</v>
      </c>
      <c r="I1045" s="840">
        <f t="shared" si="33"/>
        <v>33400</v>
      </c>
    </row>
    <row r="1046" spans="1:9" ht="112.5">
      <c r="A1046" s="1081"/>
      <c r="B1046" s="475" t="s">
        <v>2048</v>
      </c>
      <c r="C1046" s="908">
        <v>15000</v>
      </c>
      <c r="D1046" s="908">
        <v>15000</v>
      </c>
      <c r="E1046" s="905"/>
      <c r="F1046" s="841"/>
      <c r="G1046" s="841"/>
      <c r="H1046" s="840">
        <f t="shared" si="32"/>
        <v>0</v>
      </c>
      <c r="I1046" s="840">
        <f t="shared" si="33"/>
        <v>30000</v>
      </c>
    </row>
    <row r="1047" spans="1:9" ht="75">
      <c r="A1047" s="1081"/>
      <c r="B1047" s="475" t="s">
        <v>2049</v>
      </c>
      <c r="C1047" s="908">
        <v>18000</v>
      </c>
      <c r="D1047" s="908"/>
      <c r="E1047" s="905">
        <v>18000</v>
      </c>
      <c r="F1047" s="841"/>
      <c r="G1047" s="841"/>
      <c r="H1047" s="840">
        <f t="shared" si="32"/>
        <v>0</v>
      </c>
      <c r="I1047" s="840">
        <f t="shared" si="33"/>
        <v>36000</v>
      </c>
    </row>
    <row r="1048" spans="1:9" ht="56.25">
      <c r="A1048" s="1081"/>
      <c r="B1048" s="475" t="s">
        <v>2050</v>
      </c>
      <c r="C1048" s="908">
        <v>50000</v>
      </c>
      <c r="D1048" s="908">
        <v>50000</v>
      </c>
      <c r="E1048" s="905"/>
      <c r="F1048" s="841"/>
      <c r="G1048" s="841"/>
      <c r="H1048" s="840">
        <f t="shared" si="32"/>
        <v>0</v>
      </c>
      <c r="I1048" s="840">
        <f t="shared" si="33"/>
        <v>100000</v>
      </c>
    </row>
    <row r="1049" spans="1:9" ht="112.5">
      <c r="A1049" s="1081"/>
      <c r="B1049" s="535" t="s">
        <v>2051</v>
      </c>
      <c r="C1049" s="908">
        <v>10000</v>
      </c>
      <c r="D1049" s="908">
        <v>10000</v>
      </c>
      <c r="E1049" s="905"/>
      <c r="F1049" s="841"/>
      <c r="G1049" s="841"/>
      <c r="H1049" s="840">
        <f t="shared" si="32"/>
        <v>0</v>
      </c>
      <c r="I1049" s="840">
        <f t="shared" si="33"/>
        <v>20000</v>
      </c>
    </row>
    <row r="1050" spans="1:9" ht="75">
      <c r="A1050" s="1081"/>
      <c r="B1050" s="475" t="s">
        <v>2052</v>
      </c>
      <c r="C1050" s="908">
        <v>11000</v>
      </c>
      <c r="D1050" s="908"/>
      <c r="E1050" s="905">
        <v>11000</v>
      </c>
      <c r="F1050" s="841"/>
      <c r="G1050" s="841"/>
      <c r="H1050" s="840">
        <f t="shared" si="32"/>
        <v>0</v>
      </c>
      <c r="I1050" s="840">
        <f t="shared" si="33"/>
        <v>22000</v>
      </c>
    </row>
    <row r="1051" spans="1:9" ht="56.25">
      <c r="A1051" s="1081"/>
      <c r="B1051" s="475" t="s">
        <v>2053</v>
      </c>
      <c r="C1051" s="908">
        <v>3883</v>
      </c>
      <c r="D1051" s="908">
        <v>3883</v>
      </c>
      <c r="E1051" s="905"/>
      <c r="F1051" s="841"/>
      <c r="G1051" s="841"/>
      <c r="H1051" s="840">
        <f t="shared" si="32"/>
        <v>0</v>
      </c>
      <c r="I1051" s="840">
        <f t="shared" si="33"/>
        <v>7766</v>
      </c>
    </row>
    <row r="1052" spans="1:9" ht="56.25">
      <c r="A1052" s="1081"/>
      <c r="B1052" s="475" t="s">
        <v>2576</v>
      </c>
      <c r="C1052" s="905">
        <v>6000</v>
      </c>
      <c r="D1052" s="905">
        <v>6000</v>
      </c>
      <c r="E1052" s="905"/>
      <c r="F1052" s="841"/>
      <c r="G1052" s="841"/>
      <c r="H1052" s="840">
        <f t="shared" si="32"/>
        <v>0</v>
      </c>
      <c r="I1052" s="840">
        <f t="shared" si="33"/>
        <v>12000</v>
      </c>
    </row>
    <row r="1053" spans="1:9" ht="93.75">
      <c r="A1053" s="1081"/>
      <c r="B1053" s="475" t="s">
        <v>2577</v>
      </c>
      <c r="C1053" s="905">
        <v>37000</v>
      </c>
      <c r="D1053" s="905">
        <v>24000</v>
      </c>
      <c r="E1053" s="905">
        <v>13000</v>
      </c>
      <c r="F1053" s="841"/>
      <c r="G1053" s="841"/>
      <c r="H1053" s="840">
        <f t="shared" si="32"/>
        <v>0</v>
      </c>
      <c r="I1053" s="840">
        <f t="shared" si="33"/>
        <v>74000</v>
      </c>
    </row>
    <row r="1054" spans="1:9" ht="56.25">
      <c r="A1054" s="1081"/>
      <c r="B1054" s="475" t="s">
        <v>2578</v>
      </c>
      <c r="C1054" s="905">
        <v>13000</v>
      </c>
      <c r="D1054" s="905"/>
      <c r="E1054" s="905">
        <v>13000</v>
      </c>
      <c r="F1054" s="841"/>
      <c r="G1054" s="841"/>
      <c r="H1054" s="840">
        <f t="shared" si="32"/>
        <v>0</v>
      </c>
      <c r="I1054" s="840">
        <f t="shared" si="33"/>
        <v>26000</v>
      </c>
    </row>
    <row r="1055" spans="1:9" ht="56.25">
      <c r="A1055" s="1081"/>
      <c r="B1055" s="475" t="s">
        <v>2752</v>
      </c>
      <c r="C1055" s="905">
        <v>14441</v>
      </c>
      <c r="D1055" s="905">
        <v>14441</v>
      </c>
      <c r="E1055" s="905"/>
      <c r="F1055" s="841"/>
      <c r="G1055" s="841"/>
      <c r="H1055" s="840">
        <f t="shared" si="32"/>
        <v>0</v>
      </c>
      <c r="I1055" s="840">
        <f t="shared" si="33"/>
        <v>28882</v>
      </c>
    </row>
    <row r="1056" spans="1:9" ht="75">
      <c r="A1056" s="1081"/>
      <c r="B1056" s="475" t="s">
        <v>2753</v>
      </c>
      <c r="C1056" s="908">
        <v>30000</v>
      </c>
      <c r="D1056" s="908">
        <v>30000</v>
      </c>
      <c r="E1056" s="905"/>
      <c r="F1056" s="841"/>
      <c r="G1056" s="841"/>
      <c r="H1056" s="840">
        <f t="shared" si="32"/>
        <v>0</v>
      </c>
      <c r="I1056" s="840">
        <f t="shared" si="33"/>
        <v>60000</v>
      </c>
    </row>
    <row r="1057" spans="1:9" ht="56.25">
      <c r="A1057" s="1081"/>
      <c r="B1057" s="475" t="s">
        <v>2754</v>
      </c>
      <c r="C1057" s="908">
        <v>20000</v>
      </c>
      <c r="D1057" s="908">
        <v>20000</v>
      </c>
      <c r="E1057" s="905"/>
      <c r="F1057" s="841"/>
      <c r="G1057" s="841"/>
      <c r="H1057" s="840">
        <f t="shared" si="32"/>
        <v>0</v>
      </c>
      <c r="I1057" s="840">
        <f t="shared" si="33"/>
        <v>40000</v>
      </c>
    </row>
    <row r="1058" spans="1:9" ht="37.5">
      <c r="A1058" s="1081"/>
      <c r="B1058" s="475" t="s">
        <v>2755</v>
      </c>
      <c r="C1058" s="908">
        <v>24000</v>
      </c>
      <c r="D1058" s="908">
        <v>24000</v>
      </c>
      <c r="E1058" s="905"/>
      <c r="F1058" s="841"/>
      <c r="G1058" s="841"/>
      <c r="H1058" s="840">
        <f t="shared" si="32"/>
        <v>0</v>
      </c>
      <c r="I1058" s="840">
        <f t="shared" si="33"/>
        <v>48000</v>
      </c>
    </row>
    <row r="1059" spans="1:9" ht="112.5">
      <c r="A1059" s="1081"/>
      <c r="B1059" s="475" t="s">
        <v>2756</v>
      </c>
      <c r="C1059" s="908">
        <v>25441</v>
      </c>
      <c r="D1059" s="908">
        <v>25441</v>
      </c>
      <c r="E1059" s="905"/>
      <c r="F1059" s="841"/>
      <c r="G1059" s="841"/>
      <c r="H1059" s="840">
        <f t="shared" si="32"/>
        <v>0</v>
      </c>
      <c r="I1059" s="840">
        <f t="shared" si="33"/>
        <v>50882</v>
      </c>
    </row>
    <row r="1060" spans="1:9" ht="56.25">
      <c r="A1060" s="1081"/>
      <c r="B1060" s="475" t="s">
        <v>2757</v>
      </c>
      <c r="C1060" s="908">
        <v>5000</v>
      </c>
      <c r="D1060" s="908">
        <v>5000</v>
      </c>
      <c r="E1060" s="908"/>
      <c r="F1060" s="841"/>
      <c r="G1060" s="841"/>
      <c r="H1060" s="840">
        <f t="shared" si="32"/>
        <v>0</v>
      </c>
      <c r="I1060" s="840">
        <f t="shared" si="33"/>
        <v>10000</v>
      </c>
    </row>
    <row r="1061" spans="1:9" ht="56.25">
      <c r="A1061" s="1081"/>
      <c r="B1061" s="475" t="s">
        <v>2758</v>
      </c>
      <c r="C1061" s="908">
        <v>3000</v>
      </c>
      <c r="D1061" s="908">
        <v>3000</v>
      </c>
      <c r="E1061" s="908"/>
      <c r="F1061" s="841"/>
      <c r="G1061" s="841"/>
      <c r="H1061" s="840">
        <f t="shared" si="32"/>
        <v>0</v>
      </c>
      <c r="I1061" s="840">
        <f t="shared" si="33"/>
        <v>6000</v>
      </c>
    </row>
    <row r="1062" spans="1:9" ht="56.25">
      <c r="A1062" s="1081"/>
      <c r="B1062" s="475" t="s">
        <v>3155</v>
      </c>
      <c r="C1062" s="908">
        <v>12441</v>
      </c>
      <c r="D1062" s="908"/>
      <c r="E1062" s="905">
        <v>12441</v>
      </c>
      <c r="F1062" s="841"/>
      <c r="G1062" s="841"/>
      <c r="H1062" s="840">
        <f t="shared" si="32"/>
        <v>0</v>
      </c>
      <c r="I1062" s="840">
        <f t="shared" si="33"/>
        <v>24882</v>
      </c>
    </row>
    <row r="1063" spans="1:9" ht="131.25">
      <c r="A1063" s="1081"/>
      <c r="B1063" s="475" t="s">
        <v>3156</v>
      </c>
      <c r="C1063" s="908">
        <v>3131</v>
      </c>
      <c r="D1063" s="908">
        <v>3131</v>
      </c>
      <c r="E1063" s="905"/>
      <c r="F1063" s="841"/>
      <c r="G1063" s="841"/>
      <c r="H1063" s="840">
        <f t="shared" si="32"/>
        <v>0</v>
      </c>
      <c r="I1063" s="840">
        <f t="shared" si="33"/>
        <v>6262</v>
      </c>
    </row>
    <row r="1064" spans="1:9" ht="56.25">
      <c r="A1064" s="1081"/>
      <c r="B1064" s="475" t="s">
        <v>3157</v>
      </c>
      <c r="C1064" s="908">
        <v>4539</v>
      </c>
      <c r="D1064" s="908">
        <v>4539</v>
      </c>
      <c r="E1064" s="905"/>
      <c r="F1064" s="841"/>
      <c r="G1064" s="841"/>
      <c r="H1064" s="840">
        <f t="shared" si="32"/>
        <v>0</v>
      </c>
      <c r="I1064" s="840">
        <f t="shared" si="33"/>
        <v>9078</v>
      </c>
    </row>
    <row r="1065" spans="1:9" ht="112.5">
      <c r="A1065" s="1081"/>
      <c r="B1065" s="535" t="s">
        <v>3158</v>
      </c>
      <c r="C1065" s="908">
        <v>14500</v>
      </c>
      <c r="D1065" s="908">
        <v>4500</v>
      </c>
      <c r="E1065" s="905">
        <v>10000</v>
      </c>
      <c r="F1065" s="841"/>
      <c r="G1065" s="841"/>
      <c r="H1065" s="840">
        <f t="shared" si="32"/>
        <v>0</v>
      </c>
      <c r="I1065" s="840">
        <f t="shared" si="33"/>
        <v>29000</v>
      </c>
    </row>
    <row r="1066" spans="1:9" ht="56.25">
      <c r="A1066" s="1081"/>
      <c r="B1066" s="475" t="s">
        <v>3159</v>
      </c>
      <c r="C1066" s="905">
        <v>20000</v>
      </c>
      <c r="D1066" s="932"/>
      <c r="E1066" s="932">
        <v>20000</v>
      </c>
      <c r="F1066" s="841"/>
      <c r="G1066" s="841"/>
      <c r="H1066" s="840">
        <f t="shared" si="32"/>
        <v>0</v>
      </c>
      <c r="I1066" s="840">
        <f t="shared" si="33"/>
        <v>40000</v>
      </c>
    </row>
    <row r="1067" spans="1:9" ht="56.25">
      <c r="A1067" s="1081"/>
      <c r="B1067" s="475" t="s">
        <v>3160</v>
      </c>
      <c r="C1067" s="914">
        <v>20000</v>
      </c>
      <c r="D1067" s="914"/>
      <c r="E1067" s="932">
        <v>20000</v>
      </c>
      <c r="F1067" s="841"/>
      <c r="G1067" s="841"/>
      <c r="H1067" s="840">
        <f t="shared" si="32"/>
        <v>0</v>
      </c>
      <c r="I1067" s="840">
        <f t="shared" si="33"/>
        <v>40000</v>
      </c>
    </row>
    <row r="1068" spans="1:9" ht="37.5">
      <c r="A1068" s="1081"/>
      <c r="B1068" s="475" t="s">
        <v>3161</v>
      </c>
      <c r="C1068" s="914">
        <v>20000</v>
      </c>
      <c r="D1068" s="914"/>
      <c r="E1068" s="932">
        <v>20000</v>
      </c>
      <c r="F1068" s="841"/>
      <c r="G1068" s="841"/>
      <c r="H1068" s="840">
        <f t="shared" si="32"/>
        <v>0</v>
      </c>
      <c r="I1068" s="840">
        <f t="shared" si="33"/>
        <v>40000</v>
      </c>
    </row>
    <row r="1069" spans="1:9" hidden="1">
      <c r="A1069" s="1081"/>
      <c r="B1069" s="475"/>
      <c r="C1069" s="916"/>
      <c r="D1069" s="916"/>
      <c r="E1069" s="905"/>
      <c r="F1069" s="841"/>
      <c r="G1069" s="841"/>
      <c r="H1069" s="840">
        <f t="shared" si="32"/>
        <v>0</v>
      </c>
      <c r="I1069" s="840">
        <f t="shared" si="33"/>
        <v>0</v>
      </c>
    </row>
    <row r="1070" spans="1:9" hidden="1">
      <c r="A1070" s="1081"/>
      <c r="B1070" s="475"/>
      <c r="C1070" s="916"/>
      <c r="D1070" s="916"/>
      <c r="E1070" s="905"/>
      <c r="F1070" s="841"/>
      <c r="G1070" s="841"/>
      <c r="H1070" s="840">
        <f t="shared" si="32"/>
        <v>0</v>
      </c>
      <c r="I1070" s="840">
        <f t="shared" si="33"/>
        <v>0</v>
      </c>
    </row>
    <row r="1071" spans="1:9" hidden="1">
      <c r="A1071" s="1081"/>
      <c r="B1071" s="475"/>
      <c r="C1071" s="916"/>
      <c r="D1071" s="916"/>
      <c r="E1071" s="905"/>
      <c r="F1071" s="841"/>
      <c r="G1071" s="841"/>
      <c r="H1071" s="840">
        <f t="shared" si="32"/>
        <v>0</v>
      </c>
      <c r="I1071" s="840">
        <f t="shared" si="33"/>
        <v>0</v>
      </c>
    </row>
    <row r="1072" spans="1:9" hidden="1">
      <c r="A1072" s="1081"/>
      <c r="B1072" s="475"/>
      <c r="C1072" s="916"/>
      <c r="D1072" s="916"/>
      <c r="E1072" s="905"/>
      <c r="F1072" s="841"/>
      <c r="G1072" s="841"/>
      <c r="H1072" s="840">
        <f t="shared" si="32"/>
        <v>0</v>
      </c>
      <c r="I1072" s="840">
        <f t="shared" si="33"/>
        <v>0</v>
      </c>
    </row>
    <row r="1073" spans="1:9" hidden="1">
      <c r="A1073" s="1081"/>
      <c r="B1073" s="475"/>
      <c r="C1073" s="916"/>
      <c r="D1073" s="916"/>
      <c r="E1073" s="905"/>
      <c r="F1073" s="841"/>
      <c r="G1073" s="841"/>
      <c r="H1073" s="840">
        <f t="shared" si="32"/>
        <v>0</v>
      </c>
      <c r="I1073" s="840">
        <f t="shared" si="33"/>
        <v>0</v>
      </c>
    </row>
    <row r="1074" spans="1:9" hidden="1">
      <c r="A1074" s="1081"/>
      <c r="B1074" s="475"/>
      <c r="C1074" s="916"/>
      <c r="D1074" s="916"/>
      <c r="E1074" s="905"/>
      <c r="F1074" s="841"/>
      <c r="G1074" s="841"/>
      <c r="H1074" s="840">
        <f t="shared" si="32"/>
        <v>0</v>
      </c>
      <c r="I1074" s="840">
        <f t="shared" si="33"/>
        <v>0</v>
      </c>
    </row>
    <row r="1075" spans="1:9" hidden="1">
      <c r="A1075" s="1081"/>
      <c r="B1075" s="475"/>
      <c r="C1075" s="916"/>
      <c r="D1075" s="916"/>
      <c r="E1075" s="905"/>
      <c r="F1075" s="841"/>
      <c r="G1075" s="841"/>
      <c r="H1075" s="840">
        <f t="shared" si="32"/>
        <v>0</v>
      </c>
      <c r="I1075" s="840">
        <f t="shared" si="33"/>
        <v>0</v>
      </c>
    </row>
    <row r="1076" spans="1:9" hidden="1">
      <c r="A1076" s="1081"/>
      <c r="B1076" s="475"/>
      <c r="C1076" s="916"/>
      <c r="D1076" s="916"/>
      <c r="E1076" s="905"/>
      <c r="F1076" s="841"/>
      <c r="G1076" s="841"/>
      <c r="H1076" s="840">
        <f t="shared" si="32"/>
        <v>0</v>
      </c>
      <c r="I1076" s="840">
        <f t="shared" si="33"/>
        <v>0</v>
      </c>
    </row>
    <row r="1077" spans="1:9" hidden="1">
      <c r="A1077" s="1081"/>
      <c r="B1077" s="475"/>
      <c r="C1077" s="916"/>
      <c r="D1077" s="916"/>
      <c r="E1077" s="905"/>
      <c r="F1077" s="841"/>
      <c r="G1077" s="841"/>
      <c r="H1077" s="840">
        <f t="shared" si="32"/>
        <v>0</v>
      </c>
      <c r="I1077" s="840">
        <f t="shared" si="33"/>
        <v>0</v>
      </c>
    </row>
    <row r="1078" spans="1:9" hidden="1">
      <c r="A1078" s="1079"/>
      <c r="B1078" s="894"/>
      <c r="C1078" s="922"/>
      <c r="D1078" s="922"/>
      <c r="E1078" s="926"/>
      <c r="F1078" s="841"/>
      <c r="G1078" s="841"/>
      <c r="H1078" s="840">
        <f t="shared" si="32"/>
        <v>0</v>
      </c>
      <c r="I1078" s="840">
        <f t="shared" si="33"/>
        <v>0</v>
      </c>
    </row>
    <row r="1079" spans="1:9" hidden="1">
      <c r="A1079" s="1079"/>
      <c r="B1079" s="475"/>
      <c r="C1079" s="916"/>
      <c r="D1079" s="916"/>
      <c r="E1079" s="905"/>
      <c r="F1079" s="841"/>
      <c r="G1079" s="841"/>
      <c r="H1079" s="840">
        <f t="shared" si="32"/>
        <v>0</v>
      </c>
      <c r="I1079" s="840">
        <f t="shared" si="33"/>
        <v>0</v>
      </c>
    </row>
    <row r="1080" spans="1:9" hidden="1">
      <c r="A1080" s="1079"/>
      <c r="B1080" s="475"/>
      <c r="C1080" s="916"/>
      <c r="D1080" s="916"/>
      <c r="E1080" s="905"/>
      <c r="F1080" s="841"/>
      <c r="G1080" s="841"/>
      <c r="H1080" s="840">
        <f t="shared" si="32"/>
        <v>0</v>
      </c>
      <c r="I1080" s="840">
        <f t="shared" si="33"/>
        <v>0</v>
      </c>
    </row>
    <row r="1081" spans="1:9" hidden="1">
      <c r="A1081" s="1079"/>
      <c r="B1081" s="475"/>
      <c r="C1081" s="916"/>
      <c r="D1081" s="916"/>
      <c r="E1081" s="905"/>
      <c r="F1081" s="841"/>
      <c r="G1081" s="841"/>
      <c r="H1081" s="840">
        <f t="shared" si="32"/>
        <v>0</v>
      </c>
      <c r="I1081" s="840">
        <f t="shared" si="33"/>
        <v>0</v>
      </c>
    </row>
    <row r="1082" spans="1:9" hidden="1">
      <c r="A1082" s="1079"/>
      <c r="B1082" s="475"/>
      <c r="C1082" s="916"/>
      <c r="D1082" s="916"/>
      <c r="E1082" s="905"/>
      <c r="F1082" s="841"/>
      <c r="G1082" s="841"/>
      <c r="H1082" s="840">
        <f t="shared" si="32"/>
        <v>0</v>
      </c>
      <c r="I1082" s="840">
        <f t="shared" si="33"/>
        <v>0</v>
      </c>
    </row>
    <row r="1083" spans="1:9" hidden="1">
      <c r="A1083" s="1079"/>
      <c r="B1083" s="475"/>
      <c r="C1083" s="916"/>
      <c r="D1083" s="916"/>
      <c r="E1083" s="905"/>
      <c r="F1083" s="841"/>
      <c r="G1083" s="841"/>
      <c r="H1083" s="840">
        <f t="shared" si="32"/>
        <v>0</v>
      </c>
      <c r="I1083" s="840">
        <f t="shared" si="33"/>
        <v>0</v>
      </c>
    </row>
    <row r="1084" spans="1:9" hidden="1">
      <c r="A1084" s="1079"/>
      <c r="B1084" s="475"/>
      <c r="C1084" s="916"/>
      <c r="D1084" s="916"/>
      <c r="E1084" s="905"/>
      <c r="F1084" s="841"/>
      <c r="G1084" s="841"/>
      <c r="H1084" s="840">
        <f t="shared" si="32"/>
        <v>0</v>
      </c>
      <c r="I1084" s="840">
        <f t="shared" si="33"/>
        <v>0</v>
      </c>
    </row>
    <row r="1085" spans="1:9" hidden="1">
      <c r="A1085" s="1079"/>
      <c r="B1085" s="475"/>
      <c r="C1085" s="916"/>
      <c r="D1085" s="916"/>
      <c r="E1085" s="905"/>
      <c r="F1085" s="841"/>
      <c r="G1085" s="841"/>
      <c r="H1085" s="840">
        <f t="shared" si="32"/>
        <v>0</v>
      </c>
      <c r="I1085" s="840">
        <f t="shared" si="33"/>
        <v>0</v>
      </c>
    </row>
    <row r="1086" spans="1:9" hidden="1">
      <c r="A1086" s="1079"/>
      <c r="B1086" s="475"/>
      <c r="C1086" s="916"/>
      <c r="D1086" s="916"/>
      <c r="E1086" s="905"/>
      <c r="F1086" s="841"/>
      <c r="G1086" s="841"/>
      <c r="H1086" s="840">
        <f t="shared" si="32"/>
        <v>0</v>
      </c>
      <c r="I1086" s="840">
        <f t="shared" si="33"/>
        <v>0</v>
      </c>
    </row>
    <row r="1087" spans="1:9" hidden="1">
      <c r="A1087" s="1079"/>
      <c r="B1087" s="475"/>
      <c r="C1087" s="916"/>
      <c r="D1087" s="916"/>
      <c r="E1087" s="905"/>
      <c r="F1087" s="841"/>
      <c r="G1087" s="841"/>
      <c r="H1087" s="840">
        <f t="shared" si="32"/>
        <v>0</v>
      </c>
      <c r="I1087" s="840">
        <f t="shared" si="33"/>
        <v>0</v>
      </c>
    </row>
    <row r="1088" spans="1:9" hidden="1">
      <c r="A1088" s="1079"/>
      <c r="B1088" s="475"/>
      <c r="C1088" s="916"/>
      <c r="D1088" s="916"/>
      <c r="E1088" s="905"/>
      <c r="F1088" s="841"/>
      <c r="G1088" s="841"/>
      <c r="H1088" s="840">
        <f t="shared" si="32"/>
        <v>0</v>
      </c>
      <c r="I1088" s="840">
        <f t="shared" si="33"/>
        <v>0</v>
      </c>
    </row>
    <row r="1089" spans="1:9" hidden="1">
      <c r="A1089" s="1079"/>
      <c r="B1089" s="475"/>
      <c r="C1089" s="916"/>
      <c r="D1089" s="916"/>
      <c r="E1089" s="905"/>
      <c r="F1089" s="841"/>
      <c r="G1089" s="841"/>
      <c r="H1089" s="840">
        <f t="shared" si="32"/>
        <v>0</v>
      </c>
      <c r="I1089" s="840">
        <f t="shared" si="33"/>
        <v>0</v>
      </c>
    </row>
    <row r="1090" spans="1:9" hidden="1">
      <c r="A1090" s="1079"/>
      <c r="B1090" s="475"/>
      <c r="C1090" s="916"/>
      <c r="D1090" s="916"/>
      <c r="E1090" s="905"/>
      <c r="F1090" s="841"/>
      <c r="G1090" s="841"/>
      <c r="H1090" s="840">
        <f t="shared" si="32"/>
        <v>0</v>
      </c>
      <c r="I1090" s="840">
        <f t="shared" si="33"/>
        <v>0</v>
      </c>
    </row>
    <row r="1091" spans="1:9" hidden="1">
      <c r="A1091" s="1079"/>
      <c r="B1091" s="887"/>
      <c r="C1091" s="916"/>
      <c r="D1091" s="916"/>
      <c r="E1091" s="907"/>
      <c r="F1091" s="841"/>
      <c r="G1091" s="841"/>
      <c r="H1091" s="840">
        <f t="shared" si="32"/>
        <v>0</v>
      </c>
      <c r="I1091" s="840">
        <f t="shared" si="33"/>
        <v>0</v>
      </c>
    </row>
    <row r="1092" spans="1:9" hidden="1">
      <c r="A1092" s="1079"/>
      <c r="B1092" s="887"/>
      <c r="C1092" s="916"/>
      <c r="D1092" s="916"/>
      <c r="E1092" s="907"/>
      <c r="F1092" s="841"/>
      <c r="G1092" s="841"/>
      <c r="H1092" s="840">
        <f t="shared" si="32"/>
        <v>0</v>
      </c>
      <c r="I1092" s="840">
        <f t="shared" si="33"/>
        <v>0</v>
      </c>
    </row>
    <row r="1093" spans="1:9" hidden="1">
      <c r="A1093" s="1079"/>
      <c r="B1093" s="887"/>
      <c r="C1093" s="916"/>
      <c r="D1093" s="916"/>
      <c r="E1093" s="907"/>
      <c r="F1093" s="841"/>
      <c r="G1093" s="841"/>
      <c r="H1093" s="840">
        <f t="shared" si="32"/>
        <v>0</v>
      </c>
      <c r="I1093" s="840">
        <f t="shared" si="33"/>
        <v>0</v>
      </c>
    </row>
    <row r="1094" spans="1:9" hidden="1">
      <c r="A1094" s="1079"/>
      <c r="B1094" s="887"/>
      <c r="C1094" s="916"/>
      <c r="D1094" s="916"/>
      <c r="E1094" s="907"/>
      <c r="F1094" s="841"/>
      <c r="G1094" s="841"/>
      <c r="H1094" s="840">
        <f t="shared" si="32"/>
        <v>0</v>
      </c>
      <c r="I1094" s="840">
        <f t="shared" si="33"/>
        <v>0</v>
      </c>
    </row>
    <row r="1095" spans="1:9" hidden="1">
      <c r="A1095" s="1079"/>
      <c r="B1095" s="887"/>
      <c r="C1095" s="916"/>
      <c r="D1095" s="916"/>
      <c r="E1095" s="907"/>
      <c r="F1095" s="841"/>
      <c r="G1095" s="841"/>
      <c r="H1095" s="840">
        <f t="shared" si="32"/>
        <v>0</v>
      </c>
      <c r="I1095" s="840">
        <f t="shared" si="33"/>
        <v>0</v>
      </c>
    </row>
    <row r="1096" spans="1:9" hidden="1">
      <c r="A1096" s="1079"/>
      <c r="B1096" s="887"/>
      <c r="C1096" s="916"/>
      <c r="D1096" s="916"/>
      <c r="E1096" s="907"/>
      <c r="F1096" s="841"/>
      <c r="G1096" s="841"/>
      <c r="H1096" s="840">
        <f t="shared" si="32"/>
        <v>0</v>
      </c>
      <c r="I1096" s="840">
        <f t="shared" si="33"/>
        <v>0</v>
      </c>
    </row>
    <row r="1097" spans="1:9" s="302" customFormat="1" ht="18" hidden="1" customHeight="1">
      <c r="A1097" s="1071"/>
      <c r="B1097" s="864"/>
      <c r="C1097" s="917"/>
      <c r="D1097" s="917"/>
      <c r="E1097" s="927"/>
      <c r="F1097" s="841"/>
      <c r="G1097" s="841"/>
      <c r="H1097" s="840">
        <f t="shared" ref="H1097:H1160" si="34">E1097+D1097-C1097</f>
        <v>0</v>
      </c>
      <c r="I1097" s="840">
        <f t="shared" ref="I1097:I1160" si="35">SUM(C1097:E1097)</f>
        <v>0</v>
      </c>
    </row>
    <row r="1098" spans="1:9">
      <c r="A1098" s="1081"/>
      <c r="B1098" s="461" t="s">
        <v>253</v>
      </c>
      <c r="C1098" s="919">
        <f>SUM(C999:C1097)</f>
        <v>2519277</v>
      </c>
      <c r="D1098" s="919">
        <f>SUM(D999:D1097)</f>
        <v>1441903</v>
      </c>
      <c r="E1098" s="919">
        <f>SUM(E999:E1097)</f>
        <v>1077374</v>
      </c>
      <c r="F1098" s="850">
        <f>SUM(F999:F1001)</f>
        <v>0</v>
      </c>
      <c r="G1098" s="851">
        <f>SUM(G999:G1001)</f>
        <v>0</v>
      </c>
      <c r="H1098" s="840">
        <f t="shared" si="34"/>
        <v>0</v>
      </c>
      <c r="I1098" s="840">
        <f t="shared" si="35"/>
        <v>5038554</v>
      </c>
    </row>
    <row r="1099" spans="1:9" ht="75">
      <c r="A1099" s="1081" t="s">
        <v>314</v>
      </c>
      <c r="B1099" s="887" t="s">
        <v>952</v>
      </c>
      <c r="C1099" s="907">
        <v>41900</v>
      </c>
      <c r="D1099" s="530">
        <v>41900</v>
      </c>
      <c r="E1099" s="907"/>
      <c r="F1099" s="854"/>
      <c r="G1099" s="854"/>
      <c r="H1099" s="840">
        <f t="shared" si="34"/>
        <v>0</v>
      </c>
      <c r="I1099" s="840">
        <f t="shared" si="35"/>
        <v>83800</v>
      </c>
    </row>
    <row r="1100" spans="1:9" ht="112.5">
      <c r="A1100" s="1081"/>
      <c r="B1100" s="475" t="s">
        <v>953</v>
      </c>
      <c r="C1100" s="530">
        <v>90000</v>
      </c>
      <c r="D1100" s="530"/>
      <c r="E1100" s="905">
        <v>90000</v>
      </c>
      <c r="F1100" s="841"/>
      <c r="G1100" s="841"/>
      <c r="H1100" s="840">
        <f t="shared" si="34"/>
        <v>0</v>
      </c>
      <c r="I1100" s="840">
        <f t="shared" si="35"/>
        <v>180000</v>
      </c>
    </row>
    <row r="1101" spans="1:9" ht="56.25">
      <c r="A1101" s="1081"/>
      <c r="B1101" s="475" t="s">
        <v>1279</v>
      </c>
      <c r="C1101" s="530">
        <v>15000</v>
      </c>
      <c r="D1101" s="530">
        <v>2000</v>
      </c>
      <c r="E1101" s="905">
        <v>13000</v>
      </c>
      <c r="F1101" s="841"/>
      <c r="G1101" s="841"/>
      <c r="H1101" s="840">
        <f t="shared" si="34"/>
        <v>0</v>
      </c>
      <c r="I1101" s="840">
        <f t="shared" si="35"/>
        <v>30000</v>
      </c>
    </row>
    <row r="1102" spans="1:9" ht="56.25">
      <c r="A1102" s="1081"/>
      <c r="B1102" s="475" t="s">
        <v>1280</v>
      </c>
      <c r="C1102" s="530">
        <v>15000</v>
      </c>
      <c r="D1102" s="530">
        <v>5000</v>
      </c>
      <c r="E1102" s="905">
        <v>10000</v>
      </c>
      <c r="F1102" s="841"/>
      <c r="G1102" s="841"/>
      <c r="H1102" s="840">
        <f t="shared" si="34"/>
        <v>0</v>
      </c>
      <c r="I1102" s="840">
        <f t="shared" si="35"/>
        <v>30000</v>
      </c>
    </row>
    <row r="1103" spans="1:9" ht="56.25">
      <c r="A1103" s="1081"/>
      <c r="B1103" s="475" t="s">
        <v>1281</v>
      </c>
      <c r="C1103" s="530">
        <v>15000</v>
      </c>
      <c r="D1103" s="530">
        <v>15000</v>
      </c>
      <c r="E1103" s="905"/>
      <c r="F1103" s="841"/>
      <c r="G1103" s="841"/>
      <c r="H1103" s="840">
        <f t="shared" si="34"/>
        <v>0</v>
      </c>
      <c r="I1103" s="840">
        <f t="shared" si="35"/>
        <v>30000</v>
      </c>
    </row>
    <row r="1104" spans="1:9" ht="56.25">
      <c r="A1104" s="1081"/>
      <c r="B1104" s="475" t="s">
        <v>1282</v>
      </c>
      <c r="C1104" s="530">
        <v>20000</v>
      </c>
      <c r="D1104" s="530"/>
      <c r="E1104" s="905">
        <v>20000</v>
      </c>
      <c r="F1104" s="841"/>
      <c r="G1104" s="841"/>
      <c r="H1104" s="840">
        <f t="shared" si="34"/>
        <v>0</v>
      </c>
      <c r="I1104" s="840">
        <f t="shared" si="35"/>
        <v>40000</v>
      </c>
    </row>
    <row r="1105" spans="1:9" ht="75">
      <c r="A1105" s="1081"/>
      <c r="B1105" s="475" t="s">
        <v>1786</v>
      </c>
      <c r="C1105" s="908">
        <v>50000</v>
      </c>
      <c r="D1105" s="908">
        <v>50000</v>
      </c>
      <c r="E1105" s="905"/>
      <c r="F1105" s="841"/>
      <c r="G1105" s="841"/>
      <c r="H1105" s="840">
        <f t="shared" si="34"/>
        <v>0</v>
      </c>
      <c r="I1105" s="840">
        <f t="shared" si="35"/>
        <v>100000</v>
      </c>
    </row>
    <row r="1106" spans="1:9" ht="56.25">
      <c r="A1106" s="1081"/>
      <c r="B1106" s="475" t="s">
        <v>1787</v>
      </c>
      <c r="C1106" s="908">
        <v>10000</v>
      </c>
      <c r="D1106" s="908"/>
      <c r="E1106" s="905">
        <v>10000</v>
      </c>
      <c r="F1106" s="841"/>
      <c r="G1106" s="841"/>
      <c r="H1106" s="840">
        <f t="shared" si="34"/>
        <v>0</v>
      </c>
      <c r="I1106" s="840">
        <f t="shared" si="35"/>
        <v>20000</v>
      </c>
    </row>
    <row r="1107" spans="1:9" ht="131.25">
      <c r="A1107" s="1081"/>
      <c r="B1107" s="475" t="s">
        <v>1788</v>
      </c>
      <c r="C1107" s="908">
        <v>20000</v>
      </c>
      <c r="D1107" s="908"/>
      <c r="E1107" s="905">
        <v>20000</v>
      </c>
      <c r="F1107" s="841"/>
      <c r="G1107" s="841"/>
      <c r="H1107" s="840">
        <f t="shared" si="34"/>
        <v>0</v>
      </c>
      <c r="I1107" s="840">
        <f t="shared" si="35"/>
        <v>40000</v>
      </c>
    </row>
    <row r="1108" spans="1:9" s="302" customFormat="1" ht="75">
      <c r="A1108" s="1068"/>
      <c r="B1108" s="475" t="s">
        <v>2054</v>
      </c>
      <c r="C1108" s="908">
        <v>40000</v>
      </c>
      <c r="D1108" s="908">
        <v>10000</v>
      </c>
      <c r="E1108" s="905">
        <v>30000</v>
      </c>
      <c r="F1108" s="841"/>
      <c r="G1108" s="841"/>
      <c r="H1108" s="840">
        <f t="shared" si="34"/>
        <v>0</v>
      </c>
      <c r="I1108" s="840">
        <f t="shared" si="35"/>
        <v>80000</v>
      </c>
    </row>
    <row r="1109" spans="1:9" s="302" customFormat="1" ht="37.5">
      <c r="A1109" s="1068"/>
      <c r="B1109" s="475" t="s">
        <v>2055</v>
      </c>
      <c r="C1109" s="908">
        <v>25000</v>
      </c>
      <c r="D1109" s="908">
        <v>15200</v>
      </c>
      <c r="E1109" s="905">
        <v>9800</v>
      </c>
      <c r="F1109" s="841"/>
      <c r="G1109" s="841"/>
      <c r="H1109" s="840">
        <f t="shared" si="34"/>
        <v>0</v>
      </c>
      <c r="I1109" s="840">
        <f t="shared" si="35"/>
        <v>50000</v>
      </c>
    </row>
    <row r="1110" spans="1:9" s="302" customFormat="1" ht="56.25">
      <c r="A1110" s="1068"/>
      <c r="B1110" s="535" t="s">
        <v>3053</v>
      </c>
      <c r="C1110" s="908">
        <v>35000</v>
      </c>
      <c r="D1110" s="908">
        <v>35000</v>
      </c>
      <c r="E1110" s="905"/>
      <c r="F1110" s="841"/>
      <c r="G1110" s="841"/>
      <c r="H1110" s="840">
        <f t="shared" si="34"/>
        <v>0</v>
      </c>
      <c r="I1110" s="840">
        <f t="shared" si="35"/>
        <v>70000</v>
      </c>
    </row>
    <row r="1111" spans="1:9" s="302" customFormat="1" ht="93.75">
      <c r="A1111" s="1068"/>
      <c r="B1111" s="475" t="s">
        <v>2056</v>
      </c>
      <c r="C1111" s="908">
        <v>55000</v>
      </c>
      <c r="D1111" s="908">
        <v>55000</v>
      </c>
      <c r="E1111" s="905"/>
      <c r="F1111" s="841"/>
      <c r="G1111" s="841"/>
      <c r="H1111" s="840">
        <f t="shared" si="34"/>
        <v>0</v>
      </c>
      <c r="I1111" s="840">
        <f t="shared" si="35"/>
        <v>110000</v>
      </c>
    </row>
    <row r="1112" spans="1:9" s="302" customFormat="1" ht="37.5">
      <c r="A1112" s="1068"/>
      <c r="B1112" s="475" t="s">
        <v>2579</v>
      </c>
      <c r="C1112" s="905">
        <v>27350</v>
      </c>
      <c r="D1112" s="905">
        <v>27350</v>
      </c>
      <c r="E1112" s="905"/>
      <c r="F1112" s="841"/>
      <c r="G1112" s="841"/>
      <c r="H1112" s="840">
        <f t="shared" si="34"/>
        <v>0</v>
      </c>
      <c r="I1112" s="840">
        <f t="shared" si="35"/>
        <v>54700</v>
      </c>
    </row>
    <row r="1113" spans="1:9" s="302" customFormat="1" ht="93.75">
      <c r="A1113" s="1068"/>
      <c r="B1113" s="475" t="s">
        <v>2759</v>
      </c>
      <c r="C1113" s="915">
        <v>40000</v>
      </c>
      <c r="D1113" s="915">
        <v>20000</v>
      </c>
      <c r="E1113" s="914">
        <v>20000</v>
      </c>
      <c r="F1113" s="841"/>
      <c r="G1113" s="841"/>
      <c r="H1113" s="840">
        <f t="shared" si="34"/>
        <v>0</v>
      </c>
      <c r="I1113" s="840">
        <f t="shared" si="35"/>
        <v>80000</v>
      </c>
    </row>
    <row r="1114" spans="1:9" s="302" customFormat="1" ht="56.25">
      <c r="A1114" s="1068"/>
      <c r="B1114" s="475" t="s">
        <v>2760</v>
      </c>
      <c r="C1114" s="905">
        <v>25000</v>
      </c>
      <c r="D1114" s="906"/>
      <c r="E1114" s="906">
        <v>25000</v>
      </c>
      <c r="F1114" s="841"/>
      <c r="G1114" s="841"/>
      <c r="H1114" s="840">
        <f t="shared" si="34"/>
        <v>0</v>
      </c>
      <c r="I1114" s="840">
        <f t="shared" si="35"/>
        <v>50000</v>
      </c>
    </row>
    <row r="1115" spans="1:9" s="302" customFormat="1" ht="75">
      <c r="A1115" s="1068"/>
      <c r="B1115" s="475" t="s">
        <v>2761</v>
      </c>
      <c r="C1115" s="908">
        <v>20000</v>
      </c>
      <c r="D1115" s="908"/>
      <c r="E1115" s="905">
        <v>20000</v>
      </c>
      <c r="F1115" s="841"/>
      <c r="G1115" s="841"/>
      <c r="H1115" s="840">
        <f t="shared" si="34"/>
        <v>0</v>
      </c>
      <c r="I1115" s="840">
        <f t="shared" si="35"/>
        <v>40000</v>
      </c>
    </row>
    <row r="1116" spans="1:9" s="302" customFormat="1" ht="75">
      <c r="A1116" s="1068"/>
      <c r="B1116" s="846" t="s">
        <v>2762</v>
      </c>
      <c r="C1116" s="905">
        <v>59441</v>
      </c>
      <c r="D1116" s="908">
        <v>59441</v>
      </c>
      <c r="E1116" s="905"/>
      <c r="F1116" s="841"/>
      <c r="G1116" s="841"/>
      <c r="H1116" s="840">
        <f t="shared" si="34"/>
        <v>0</v>
      </c>
      <c r="I1116" s="840">
        <f t="shared" si="35"/>
        <v>118882</v>
      </c>
    </row>
    <row r="1117" spans="1:9" s="302" customFormat="1" hidden="1">
      <c r="A1117" s="1068"/>
      <c r="B1117" s="846"/>
      <c r="C1117" s="904"/>
      <c r="D1117" s="904"/>
      <c r="E1117" s="904"/>
      <c r="F1117" s="841"/>
      <c r="G1117" s="841"/>
      <c r="H1117" s="840">
        <f t="shared" si="34"/>
        <v>0</v>
      </c>
      <c r="I1117" s="840">
        <f t="shared" si="35"/>
        <v>0</v>
      </c>
    </row>
    <row r="1118" spans="1:9" s="302" customFormat="1" hidden="1">
      <c r="A1118" s="1068"/>
      <c r="B1118" s="846"/>
      <c r="C1118" s="904"/>
      <c r="D1118" s="904"/>
      <c r="E1118" s="904"/>
      <c r="F1118" s="841"/>
      <c r="G1118" s="841"/>
      <c r="H1118" s="840">
        <f t="shared" si="34"/>
        <v>0</v>
      </c>
      <c r="I1118" s="840">
        <f t="shared" si="35"/>
        <v>0</v>
      </c>
    </row>
    <row r="1119" spans="1:9" s="302" customFormat="1" hidden="1">
      <c r="A1119" s="1068"/>
      <c r="B1119" s="475"/>
      <c r="C1119" s="905"/>
      <c r="D1119" s="931"/>
      <c r="E1119" s="931"/>
      <c r="F1119" s="841"/>
      <c r="G1119" s="841"/>
      <c r="H1119" s="840">
        <f t="shared" si="34"/>
        <v>0</v>
      </c>
      <c r="I1119" s="840">
        <f t="shared" si="35"/>
        <v>0</v>
      </c>
    </row>
    <row r="1120" spans="1:9" s="302" customFormat="1" hidden="1">
      <c r="A1120" s="1068"/>
      <c r="B1120" s="475"/>
      <c r="C1120" s="905"/>
      <c r="D1120" s="931"/>
      <c r="E1120" s="931"/>
      <c r="F1120" s="841"/>
      <c r="G1120" s="841"/>
      <c r="H1120" s="840">
        <f t="shared" si="34"/>
        <v>0</v>
      </c>
      <c r="I1120" s="840">
        <f t="shared" si="35"/>
        <v>0</v>
      </c>
    </row>
    <row r="1121" spans="1:9" s="302" customFormat="1" hidden="1">
      <c r="A1121" s="1068"/>
      <c r="B1121" s="475"/>
      <c r="C1121" s="916"/>
      <c r="D1121" s="916"/>
      <c r="E1121" s="905"/>
      <c r="F1121" s="841"/>
      <c r="G1121" s="841"/>
      <c r="H1121" s="840">
        <f t="shared" si="34"/>
        <v>0</v>
      </c>
      <c r="I1121" s="840">
        <f t="shared" si="35"/>
        <v>0</v>
      </c>
    </row>
    <row r="1122" spans="1:9" s="302" customFormat="1" hidden="1">
      <c r="A1122" s="1068"/>
      <c r="B1122" s="475"/>
      <c r="C1122" s="916"/>
      <c r="D1122" s="916"/>
      <c r="E1122" s="905"/>
      <c r="F1122" s="841"/>
      <c r="G1122" s="841"/>
      <c r="H1122" s="840">
        <f t="shared" si="34"/>
        <v>0</v>
      </c>
      <c r="I1122" s="840">
        <f t="shared" si="35"/>
        <v>0</v>
      </c>
    </row>
    <row r="1123" spans="1:9" s="302" customFormat="1" hidden="1">
      <c r="A1123" s="1068"/>
      <c r="B1123" s="475"/>
      <c r="C1123" s="916"/>
      <c r="D1123" s="916"/>
      <c r="E1123" s="905"/>
      <c r="F1123" s="841"/>
      <c r="G1123" s="841"/>
      <c r="H1123" s="840">
        <f t="shared" si="34"/>
        <v>0</v>
      </c>
      <c r="I1123" s="840">
        <f t="shared" si="35"/>
        <v>0</v>
      </c>
    </row>
    <row r="1124" spans="1:9" s="302" customFormat="1" hidden="1">
      <c r="A1124" s="1068"/>
      <c r="B1124" s="475"/>
      <c r="C1124" s="916"/>
      <c r="D1124" s="916"/>
      <c r="E1124" s="905"/>
      <c r="F1124" s="841"/>
      <c r="G1124" s="841"/>
      <c r="H1124" s="840">
        <f t="shared" si="34"/>
        <v>0</v>
      </c>
      <c r="I1124" s="840">
        <f t="shared" si="35"/>
        <v>0</v>
      </c>
    </row>
    <row r="1125" spans="1:9" s="302" customFormat="1" hidden="1">
      <c r="A1125" s="1068"/>
      <c r="B1125" s="475"/>
      <c r="C1125" s="916"/>
      <c r="D1125" s="916"/>
      <c r="E1125" s="905"/>
      <c r="F1125" s="841"/>
      <c r="G1125" s="841"/>
      <c r="H1125" s="840">
        <f t="shared" si="34"/>
        <v>0</v>
      </c>
      <c r="I1125" s="840">
        <f t="shared" si="35"/>
        <v>0</v>
      </c>
    </row>
    <row r="1126" spans="1:9" s="302" customFormat="1" hidden="1">
      <c r="A1126" s="1068"/>
      <c r="B1126" s="475"/>
      <c r="C1126" s="916"/>
      <c r="D1126" s="916"/>
      <c r="E1126" s="905"/>
      <c r="F1126" s="841"/>
      <c r="G1126" s="841"/>
      <c r="H1126" s="840">
        <f t="shared" si="34"/>
        <v>0</v>
      </c>
      <c r="I1126" s="840">
        <f t="shared" si="35"/>
        <v>0</v>
      </c>
    </row>
    <row r="1127" spans="1:9" s="302" customFormat="1" hidden="1">
      <c r="A1127" s="1068"/>
      <c r="B1127" s="475"/>
      <c r="C1127" s="916"/>
      <c r="D1127" s="916"/>
      <c r="E1127" s="905"/>
      <c r="F1127" s="841"/>
      <c r="G1127" s="841"/>
      <c r="H1127" s="840">
        <f t="shared" si="34"/>
        <v>0</v>
      </c>
      <c r="I1127" s="840">
        <f t="shared" si="35"/>
        <v>0</v>
      </c>
    </row>
    <row r="1128" spans="1:9" s="302" customFormat="1" hidden="1">
      <c r="A1128" s="1068"/>
      <c r="B1128" s="475"/>
      <c r="C1128" s="916"/>
      <c r="D1128" s="916"/>
      <c r="E1128" s="905"/>
      <c r="F1128" s="841"/>
      <c r="G1128" s="841"/>
      <c r="H1128" s="840">
        <f t="shared" si="34"/>
        <v>0</v>
      </c>
      <c r="I1128" s="840">
        <f t="shared" si="35"/>
        <v>0</v>
      </c>
    </row>
    <row r="1129" spans="1:9" s="302" customFormat="1" hidden="1">
      <c r="A1129" s="1068"/>
      <c r="B1129" s="475"/>
      <c r="C1129" s="916"/>
      <c r="D1129" s="916"/>
      <c r="E1129" s="905"/>
      <c r="F1129" s="841"/>
      <c r="G1129" s="841"/>
      <c r="H1129" s="840">
        <f t="shared" si="34"/>
        <v>0</v>
      </c>
      <c r="I1129" s="840">
        <f t="shared" si="35"/>
        <v>0</v>
      </c>
    </row>
    <row r="1130" spans="1:9" s="302" customFormat="1" hidden="1">
      <c r="A1130" s="1068"/>
      <c r="B1130" s="475"/>
      <c r="C1130" s="916"/>
      <c r="D1130" s="916"/>
      <c r="E1130" s="905"/>
      <c r="F1130" s="841"/>
      <c r="G1130" s="841"/>
      <c r="H1130" s="840">
        <f t="shared" si="34"/>
        <v>0</v>
      </c>
      <c r="I1130" s="840">
        <f t="shared" si="35"/>
        <v>0</v>
      </c>
    </row>
    <row r="1131" spans="1:9" s="302" customFormat="1" hidden="1">
      <c r="A1131" s="1068"/>
      <c r="B1131" s="475"/>
      <c r="C1131" s="916"/>
      <c r="D1131" s="916"/>
      <c r="E1131" s="905"/>
      <c r="F1131" s="841"/>
      <c r="G1131" s="841"/>
      <c r="H1131" s="840">
        <f t="shared" si="34"/>
        <v>0</v>
      </c>
      <c r="I1131" s="840">
        <f t="shared" si="35"/>
        <v>0</v>
      </c>
    </row>
    <row r="1132" spans="1:9" s="302" customFormat="1" hidden="1">
      <c r="A1132" s="1068"/>
      <c r="B1132" s="475"/>
      <c r="C1132" s="916"/>
      <c r="D1132" s="916"/>
      <c r="E1132" s="905"/>
      <c r="F1132" s="841"/>
      <c r="G1132" s="841"/>
      <c r="H1132" s="840">
        <f t="shared" si="34"/>
        <v>0</v>
      </c>
      <c r="I1132" s="840">
        <f t="shared" si="35"/>
        <v>0</v>
      </c>
    </row>
    <row r="1133" spans="1:9" s="302" customFormat="1" hidden="1">
      <c r="A1133" s="1068"/>
      <c r="B1133" s="475"/>
      <c r="C1133" s="916"/>
      <c r="D1133" s="916"/>
      <c r="E1133" s="905"/>
      <c r="F1133" s="841"/>
      <c r="G1133" s="841"/>
      <c r="H1133" s="840">
        <f t="shared" si="34"/>
        <v>0</v>
      </c>
      <c r="I1133" s="840">
        <f t="shared" si="35"/>
        <v>0</v>
      </c>
    </row>
    <row r="1134" spans="1:9" s="302" customFormat="1" hidden="1">
      <c r="A1134" s="1068"/>
      <c r="B1134" s="896"/>
      <c r="C1134" s="905"/>
      <c r="D1134" s="905"/>
      <c r="E1134" s="905"/>
      <c r="F1134" s="841"/>
      <c r="G1134" s="841"/>
      <c r="H1134" s="840">
        <f t="shared" si="34"/>
        <v>0</v>
      </c>
      <c r="I1134" s="840">
        <f t="shared" si="35"/>
        <v>0</v>
      </c>
    </row>
    <row r="1135" spans="1:9" s="302" customFormat="1" hidden="1">
      <c r="A1135" s="1068"/>
      <c r="B1135" s="896"/>
      <c r="C1135" s="905"/>
      <c r="D1135" s="905"/>
      <c r="E1135" s="905"/>
      <c r="F1135" s="841"/>
      <c r="G1135" s="841"/>
      <c r="H1135" s="840">
        <f t="shared" si="34"/>
        <v>0</v>
      </c>
      <c r="I1135" s="840">
        <f t="shared" si="35"/>
        <v>0</v>
      </c>
    </row>
    <row r="1136" spans="1:9" s="302" customFormat="1" hidden="1">
      <c r="A1136" s="1068"/>
      <c r="B1136" s="895"/>
      <c r="C1136" s="905"/>
      <c r="D1136" s="905"/>
      <c r="E1136" s="905"/>
      <c r="F1136" s="841"/>
      <c r="G1136" s="841"/>
      <c r="H1136" s="840">
        <f t="shared" si="34"/>
        <v>0</v>
      </c>
      <c r="I1136" s="840">
        <f t="shared" si="35"/>
        <v>0</v>
      </c>
    </row>
    <row r="1137" spans="1:9" s="302" customFormat="1" hidden="1">
      <c r="A1137" s="1068"/>
      <c r="B1137" s="896"/>
      <c r="C1137" s="905"/>
      <c r="D1137" s="905"/>
      <c r="E1137" s="905"/>
      <c r="F1137" s="841"/>
      <c r="G1137" s="841"/>
      <c r="H1137" s="840">
        <f t="shared" si="34"/>
        <v>0</v>
      </c>
      <c r="I1137" s="840">
        <f t="shared" si="35"/>
        <v>0</v>
      </c>
    </row>
    <row r="1138" spans="1:9" s="302" customFormat="1" hidden="1">
      <c r="A1138" s="1068"/>
      <c r="B1138" s="896"/>
      <c r="C1138" s="905"/>
      <c r="D1138" s="905"/>
      <c r="E1138" s="905"/>
      <c r="F1138" s="841"/>
      <c r="G1138" s="841"/>
      <c r="H1138" s="840">
        <f t="shared" si="34"/>
        <v>0</v>
      </c>
      <c r="I1138" s="840">
        <f t="shared" si="35"/>
        <v>0</v>
      </c>
    </row>
    <row r="1139" spans="1:9" s="302" customFormat="1" hidden="1">
      <c r="A1139" s="1068"/>
      <c r="B1139" s="896"/>
      <c r="C1139" s="905"/>
      <c r="D1139" s="905"/>
      <c r="E1139" s="905"/>
      <c r="F1139" s="841"/>
      <c r="G1139" s="841"/>
      <c r="H1139" s="840">
        <f t="shared" si="34"/>
        <v>0</v>
      </c>
      <c r="I1139" s="840">
        <f t="shared" si="35"/>
        <v>0</v>
      </c>
    </row>
    <row r="1140" spans="1:9" s="302" customFormat="1" hidden="1">
      <c r="A1140" s="1068"/>
      <c r="B1140" s="896"/>
      <c r="C1140" s="905"/>
      <c r="D1140" s="905"/>
      <c r="E1140" s="905"/>
      <c r="F1140" s="841"/>
      <c r="G1140" s="841"/>
      <c r="H1140" s="840">
        <f t="shared" si="34"/>
        <v>0</v>
      </c>
      <c r="I1140" s="840">
        <f t="shared" si="35"/>
        <v>0</v>
      </c>
    </row>
    <row r="1141" spans="1:9" s="302" customFormat="1" hidden="1">
      <c r="A1141" s="1068"/>
      <c r="B1141" s="896"/>
      <c r="C1141" s="905"/>
      <c r="D1141" s="905"/>
      <c r="E1141" s="905"/>
      <c r="F1141" s="841"/>
      <c r="G1141" s="841"/>
      <c r="H1141" s="840">
        <f t="shared" si="34"/>
        <v>0</v>
      </c>
      <c r="I1141" s="840">
        <f t="shared" si="35"/>
        <v>0</v>
      </c>
    </row>
    <row r="1142" spans="1:9" s="302" customFormat="1" hidden="1">
      <c r="A1142" s="1068"/>
      <c r="B1142" s="895"/>
      <c r="C1142" s="905"/>
      <c r="D1142" s="905"/>
      <c r="E1142" s="905"/>
      <c r="F1142" s="841"/>
      <c r="G1142" s="841"/>
      <c r="H1142" s="840">
        <f t="shared" si="34"/>
        <v>0</v>
      </c>
      <c r="I1142" s="840">
        <f t="shared" si="35"/>
        <v>0</v>
      </c>
    </row>
    <row r="1143" spans="1:9" s="302" customFormat="1" hidden="1">
      <c r="A1143" s="1068"/>
      <c r="B1143" s="895"/>
      <c r="C1143" s="905"/>
      <c r="D1143" s="905"/>
      <c r="E1143" s="905"/>
      <c r="F1143" s="841"/>
      <c r="G1143" s="841"/>
      <c r="H1143" s="840">
        <f t="shared" si="34"/>
        <v>0</v>
      </c>
      <c r="I1143" s="840">
        <f t="shared" si="35"/>
        <v>0</v>
      </c>
    </row>
    <row r="1144" spans="1:9" s="302" customFormat="1" hidden="1">
      <c r="A1144" s="1068"/>
      <c r="B1144" s="896"/>
      <c r="C1144" s="905"/>
      <c r="D1144" s="905"/>
      <c r="E1144" s="905"/>
      <c r="F1144" s="841"/>
      <c r="G1144" s="841"/>
      <c r="H1144" s="840">
        <f t="shared" si="34"/>
        <v>0</v>
      </c>
      <c r="I1144" s="840">
        <f t="shared" si="35"/>
        <v>0</v>
      </c>
    </row>
    <row r="1145" spans="1:9" s="302" customFormat="1" hidden="1">
      <c r="A1145" s="1068"/>
      <c r="B1145" s="475"/>
      <c r="C1145" s="916"/>
      <c r="D1145" s="916"/>
      <c r="E1145" s="905"/>
      <c r="F1145" s="841"/>
      <c r="G1145" s="841"/>
      <c r="H1145" s="840">
        <f t="shared" si="34"/>
        <v>0</v>
      </c>
      <c r="I1145" s="840">
        <f t="shared" si="35"/>
        <v>0</v>
      </c>
    </row>
    <row r="1146" spans="1:9" s="302" customFormat="1" hidden="1">
      <c r="A1146" s="1068"/>
      <c r="B1146" s="475"/>
      <c r="C1146" s="916"/>
      <c r="D1146" s="916"/>
      <c r="E1146" s="905"/>
      <c r="F1146" s="841"/>
      <c r="G1146" s="841"/>
      <c r="H1146" s="840">
        <f t="shared" si="34"/>
        <v>0</v>
      </c>
      <c r="I1146" s="840">
        <f t="shared" si="35"/>
        <v>0</v>
      </c>
    </row>
    <row r="1147" spans="1:9" s="302" customFormat="1" hidden="1">
      <c r="A1147" s="1068"/>
      <c r="B1147" s="475"/>
      <c r="C1147" s="916"/>
      <c r="D1147" s="916"/>
      <c r="E1147" s="905"/>
      <c r="F1147" s="841"/>
      <c r="G1147" s="841"/>
      <c r="H1147" s="840">
        <f t="shared" si="34"/>
        <v>0</v>
      </c>
      <c r="I1147" s="840">
        <f t="shared" si="35"/>
        <v>0</v>
      </c>
    </row>
    <row r="1148" spans="1:9" s="302" customFormat="1" hidden="1">
      <c r="A1148" s="1068"/>
      <c r="B1148" s="475"/>
      <c r="C1148" s="916"/>
      <c r="D1148" s="916"/>
      <c r="E1148" s="905"/>
      <c r="F1148" s="841"/>
      <c r="G1148" s="841"/>
      <c r="H1148" s="840">
        <f t="shared" si="34"/>
        <v>0</v>
      </c>
      <c r="I1148" s="840">
        <f t="shared" si="35"/>
        <v>0</v>
      </c>
    </row>
    <row r="1149" spans="1:9" s="302" customFormat="1" ht="18" hidden="1" customHeight="1">
      <c r="A1149" s="1071"/>
      <c r="B1149" s="897"/>
      <c r="C1149" s="926"/>
      <c r="D1149" s="926"/>
      <c r="E1149" s="926"/>
      <c r="F1149" s="841"/>
      <c r="G1149" s="841"/>
      <c r="H1149" s="840">
        <f t="shared" si="34"/>
        <v>0</v>
      </c>
      <c r="I1149" s="840">
        <f t="shared" si="35"/>
        <v>0</v>
      </c>
    </row>
    <row r="1150" spans="1:9" s="302" customFormat="1" ht="18" hidden="1" customHeight="1">
      <c r="A1150" s="1071"/>
      <c r="B1150" s="896"/>
      <c r="C1150" s="905"/>
      <c r="D1150" s="905"/>
      <c r="E1150" s="905"/>
      <c r="F1150" s="841"/>
      <c r="G1150" s="841"/>
      <c r="H1150" s="840">
        <f t="shared" si="34"/>
        <v>0</v>
      </c>
      <c r="I1150" s="840">
        <f t="shared" si="35"/>
        <v>0</v>
      </c>
    </row>
    <row r="1151" spans="1:9" s="302" customFormat="1" ht="18" hidden="1" customHeight="1">
      <c r="A1151" s="1071"/>
      <c r="B1151" s="896"/>
      <c r="C1151" s="905"/>
      <c r="D1151" s="905"/>
      <c r="E1151" s="905"/>
      <c r="F1151" s="841"/>
      <c r="G1151" s="841"/>
      <c r="H1151" s="840">
        <f t="shared" si="34"/>
        <v>0</v>
      </c>
      <c r="I1151" s="840">
        <f t="shared" si="35"/>
        <v>0</v>
      </c>
    </row>
    <row r="1152" spans="1:9" s="302" customFormat="1" ht="18" hidden="1" customHeight="1">
      <c r="A1152" s="1071"/>
      <c r="B1152" s="896"/>
      <c r="C1152" s="905"/>
      <c r="D1152" s="905"/>
      <c r="E1152" s="905"/>
      <c r="F1152" s="841"/>
      <c r="G1152" s="841"/>
      <c r="H1152" s="840">
        <f t="shared" si="34"/>
        <v>0</v>
      </c>
      <c r="I1152" s="840">
        <f t="shared" si="35"/>
        <v>0</v>
      </c>
    </row>
    <row r="1153" spans="1:9" s="302" customFormat="1" ht="18" hidden="1" customHeight="1">
      <c r="A1153" s="1071"/>
      <c r="B1153" s="896"/>
      <c r="C1153" s="905"/>
      <c r="D1153" s="905"/>
      <c r="E1153" s="905"/>
      <c r="F1153" s="841"/>
      <c r="G1153" s="841"/>
      <c r="H1153" s="840">
        <f t="shared" si="34"/>
        <v>0</v>
      </c>
      <c r="I1153" s="840">
        <f t="shared" si="35"/>
        <v>0</v>
      </c>
    </row>
    <row r="1154" spans="1:9" s="302" customFormat="1" ht="18" hidden="1" customHeight="1">
      <c r="A1154" s="1071"/>
      <c r="B1154" s="896"/>
      <c r="C1154" s="905"/>
      <c r="D1154" s="905"/>
      <c r="E1154" s="905"/>
      <c r="F1154" s="841"/>
      <c r="G1154" s="841"/>
      <c r="H1154" s="840">
        <f t="shared" si="34"/>
        <v>0</v>
      </c>
      <c r="I1154" s="840">
        <f t="shared" si="35"/>
        <v>0</v>
      </c>
    </row>
    <row r="1155" spans="1:9" s="302" customFormat="1" ht="18" hidden="1" customHeight="1">
      <c r="A1155" s="1071"/>
      <c r="B1155" s="896"/>
      <c r="C1155" s="905"/>
      <c r="D1155" s="905"/>
      <c r="E1155" s="905"/>
      <c r="F1155" s="841"/>
      <c r="G1155" s="841"/>
      <c r="H1155" s="840">
        <f t="shared" si="34"/>
        <v>0</v>
      </c>
      <c r="I1155" s="840">
        <f t="shared" si="35"/>
        <v>0</v>
      </c>
    </row>
    <row r="1156" spans="1:9" s="302" customFormat="1" ht="18" hidden="1" customHeight="1">
      <c r="A1156" s="1071"/>
      <c r="B1156" s="896"/>
      <c r="C1156" s="905"/>
      <c r="D1156" s="905"/>
      <c r="E1156" s="905"/>
      <c r="F1156" s="841"/>
      <c r="G1156" s="841"/>
      <c r="H1156" s="840">
        <f t="shared" si="34"/>
        <v>0</v>
      </c>
      <c r="I1156" s="840">
        <f t="shared" si="35"/>
        <v>0</v>
      </c>
    </row>
    <row r="1157" spans="1:9" s="302" customFormat="1" ht="18" hidden="1" customHeight="1">
      <c r="A1157" s="1071"/>
      <c r="B1157" s="896"/>
      <c r="C1157" s="905"/>
      <c r="D1157" s="905"/>
      <c r="E1157" s="905"/>
      <c r="F1157" s="841"/>
      <c r="G1157" s="841"/>
      <c r="H1157" s="840">
        <f t="shared" si="34"/>
        <v>0</v>
      </c>
      <c r="I1157" s="840">
        <f t="shared" si="35"/>
        <v>0</v>
      </c>
    </row>
    <row r="1158" spans="1:9" s="302" customFormat="1" ht="18" hidden="1" customHeight="1">
      <c r="A1158" s="1071"/>
      <c r="B1158" s="896"/>
      <c r="C1158" s="905"/>
      <c r="D1158" s="905"/>
      <c r="E1158" s="905"/>
      <c r="F1158" s="841"/>
      <c r="G1158" s="841"/>
      <c r="H1158" s="840">
        <f t="shared" si="34"/>
        <v>0</v>
      </c>
      <c r="I1158" s="840">
        <f t="shared" si="35"/>
        <v>0</v>
      </c>
    </row>
    <row r="1159" spans="1:9" s="302" customFormat="1" ht="18" hidden="1" customHeight="1">
      <c r="A1159" s="1071"/>
      <c r="B1159" s="896"/>
      <c r="C1159" s="905"/>
      <c r="D1159" s="905"/>
      <c r="E1159" s="905"/>
      <c r="F1159" s="841"/>
      <c r="G1159" s="841"/>
      <c r="H1159" s="840">
        <f t="shared" si="34"/>
        <v>0</v>
      </c>
      <c r="I1159" s="840">
        <f t="shared" si="35"/>
        <v>0</v>
      </c>
    </row>
    <row r="1160" spans="1:9" s="302" customFormat="1" ht="18" hidden="1" customHeight="1">
      <c r="A1160" s="1071"/>
      <c r="B1160" s="896"/>
      <c r="C1160" s="905"/>
      <c r="D1160" s="905"/>
      <c r="E1160" s="905"/>
      <c r="F1160" s="841"/>
      <c r="G1160" s="841"/>
      <c r="H1160" s="840">
        <f t="shared" si="34"/>
        <v>0</v>
      </c>
      <c r="I1160" s="840">
        <f t="shared" si="35"/>
        <v>0</v>
      </c>
    </row>
    <row r="1161" spans="1:9" s="302" customFormat="1" ht="18" hidden="1" customHeight="1">
      <c r="A1161" s="1071"/>
      <c r="B1161" s="475"/>
      <c r="C1161" s="916"/>
      <c r="D1161" s="916"/>
      <c r="E1161" s="905"/>
      <c r="F1161" s="841"/>
      <c r="G1161" s="841"/>
      <c r="H1161" s="840">
        <f t="shared" ref="H1161:H1224" si="36">E1161+D1161-C1161</f>
        <v>0</v>
      </c>
      <c r="I1161" s="840">
        <f t="shared" ref="I1161:I1224" si="37">SUM(C1161:E1161)</f>
        <v>0</v>
      </c>
    </row>
    <row r="1162" spans="1:9" s="302" customFormat="1" ht="18" hidden="1" customHeight="1">
      <c r="A1162" s="1071"/>
      <c r="B1162" s="475"/>
      <c r="C1162" s="916"/>
      <c r="D1162" s="916"/>
      <c r="E1162" s="905"/>
      <c r="F1162" s="841"/>
      <c r="G1162" s="841"/>
      <c r="H1162" s="840">
        <f t="shared" si="36"/>
        <v>0</v>
      </c>
      <c r="I1162" s="840">
        <f t="shared" si="37"/>
        <v>0</v>
      </c>
    </row>
    <row r="1163" spans="1:9" s="302" customFormat="1" ht="18" hidden="1" customHeight="1">
      <c r="A1163" s="1071"/>
      <c r="B1163" s="475"/>
      <c r="C1163" s="916"/>
      <c r="D1163" s="916"/>
      <c r="E1163" s="905"/>
      <c r="F1163" s="841"/>
      <c r="G1163" s="841"/>
      <c r="H1163" s="840">
        <f t="shared" si="36"/>
        <v>0</v>
      </c>
      <c r="I1163" s="840">
        <f t="shared" si="37"/>
        <v>0</v>
      </c>
    </row>
    <row r="1164" spans="1:9" s="302" customFormat="1" ht="18" hidden="1" customHeight="1">
      <c r="A1164" s="1071"/>
      <c r="B1164" s="864"/>
      <c r="C1164" s="917"/>
      <c r="D1164" s="917"/>
      <c r="E1164" s="918"/>
      <c r="F1164" s="841"/>
      <c r="G1164" s="841"/>
      <c r="H1164" s="840">
        <f t="shared" si="36"/>
        <v>0</v>
      </c>
      <c r="I1164" s="840">
        <f t="shared" si="37"/>
        <v>0</v>
      </c>
    </row>
    <row r="1165" spans="1:9">
      <c r="A1165" s="1081"/>
      <c r="B1165" s="461" t="s">
        <v>253</v>
      </c>
      <c r="C1165" s="919">
        <f>SUM(C1099:C1164)</f>
        <v>603691</v>
      </c>
      <c r="D1165" s="919">
        <f>SUM(D1099:D1164)</f>
        <v>335891</v>
      </c>
      <c r="E1165" s="919">
        <f>SUM(E1099:E1164)</f>
        <v>267800</v>
      </c>
      <c r="F1165" s="850">
        <f>SUM(F1099:F1100)</f>
        <v>0</v>
      </c>
      <c r="G1165" s="851">
        <f>SUM(G1099:G1100)</f>
        <v>0</v>
      </c>
      <c r="H1165" s="840">
        <f t="shared" si="36"/>
        <v>0</v>
      </c>
      <c r="I1165" s="840">
        <f t="shared" si="37"/>
        <v>1207382</v>
      </c>
    </row>
    <row r="1166" spans="1:9" ht="75">
      <c r="A1166" s="1081" t="s">
        <v>315</v>
      </c>
      <c r="B1166" s="887" t="s">
        <v>952</v>
      </c>
      <c r="C1166" s="907">
        <v>942400</v>
      </c>
      <c r="D1166" s="530">
        <v>942400</v>
      </c>
      <c r="E1166" s="907"/>
      <c r="F1166" s="839"/>
      <c r="G1166" s="839"/>
      <c r="H1166" s="840">
        <f t="shared" si="36"/>
        <v>0</v>
      </c>
      <c r="I1166" s="840">
        <f t="shared" si="37"/>
        <v>1884800</v>
      </c>
    </row>
    <row r="1167" spans="1:9" ht="112.5" hidden="1">
      <c r="A1167" s="1081"/>
      <c r="B1167" s="475" t="s">
        <v>953</v>
      </c>
      <c r="C1167" s="530">
        <f>50000-50000</f>
        <v>0</v>
      </c>
      <c r="D1167" s="530"/>
      <c r="E1167" s="905">
        <f>150000-100000-50000</f>
        <v>0</v>
      </c>
      <c r="F1167" s="854"/>
      <c r="G1167" s="854"/>
      <c r="H1167" s="840">
        <f t="shared" si="36"/>
        <v>0</v>
      </c>
      <c r="I1167" s="840">
        <f t="shared" si="37"/>
        <v>0</v>
      </c>
    </row>
    <row r="1168" spans="1:9" ht="60.75" customHeight="1">
      <c r="A1168" s="1081"/>
      <c r="B1168" s="475" t="s">
        <v>954</v>
      </c>
      <c r="C1168" s="530">
        <v>100000</v>
      </c>
      <c r="D1168" s="530">
        <v>100000</v>
      </c>
      <c r="E1168" s="905"/>
      <c r="F1168" s="854"/>
      <c r="G1168" s="854"/>
      <c r="H1168" s="840">
        <f t="shared" si="36"/>
        <v>0</v>
      </c>
      <c r="I1168" s="840">
        <f t="shared" si="37"/>
        <v>200000</v>
      </c>
    </row>
    <row r="1169" spans="1:9" ht="112.5">
      <c r="A1169" s="1081"/>
      <c r="B1169" s="888" t="s">
        <v>1941</v>
      </c>
      <c r="C1169" s="905">
        <v>200000</v>
      </c>
      <c r="D1169" s="905">
        <v>200000</v>
      </c>
      <c r="E1169" s="905"/>
      <c r="F1169" s="841"/>
      <c r="G1169" s="841"/>
      <c r="H1169" s="840">
        <f t="shared" si="36"/>
        <v>0</v>
      </c>
      <c r="I1169" s="840">
        <f t="shared" si="37"/>
        <v>400000</v>
      </c>
    </row>
    <row r="1170" spans="1:9" ht="75">
      <c r="A1170" s="1081"/>
      <c r="B1170" s="475" t="s">
        <v>1283</v>
      </c>
      <c r="C1170" s="530">
        <v>40000</v>
      </c>
      <c r="D1170" s="530"/>
      <c r="E1170" s="905">
        <v>40000</v>
      </c>
      <c r="F1170" s="841"/>
      <c r="G1170" s="841"/>
      <c r="H1170" s="840">
        <f t="shared" si="36"/>
        <v>0</v>
      </c>
      <c r="I1170" s="840">
        <f t="shared" si="37"/>
        <v>80000</v>
      </c>
    </row>
    <row r="1171" spans="1:9" ht="37.5">
      <c r="A1171" s="1081"/>
      <c r="B1171" s="475" t="s">
        <v>3193</v>
      </c>
      <c r="C1171" s="530">
        <v>30000</v>
      </c>
      <c r="D1171" s="530">
        <v>30000</v>
      </c>
      <c r="E1171" s="905"/>
      <c r="F1171" s="841"/>
      <c r="G1171" s="841"/>
      <c r="H1171" s="840">
        <f t="shared" si="36"/>
        <v>0</v>
      </c>
      <c r="I1171" s="840">
        <f t="shared" si="37"/>
        <v>60000</v>
      </c>
    </row>
    <row r="1172" spans="1:9" ht="56.25">
      <c r="A1172" s="1081"/>
      <c r="B1172" s="475" t="s">
        <v>1284</v>
      </c>
      <c r="C1172" s="530">
        <v>20000</v>
      </c>
      <c r="D1172" s="530">
        <v>4000</v>
      </c>
      <c r="E1172" s="905">
        <v>16000</v>
      </c>
      <c r="F1172" s="841"/>
      <c r="G1172" s="841"/>
      <c r="H1172" s="840">
        <f t="shared" si="36"/>
        <v>0</v>
      </c>
      <c r="I1172" s="840">
        <f t="shared" si="37"/>
        <v>40000</v>
      </c>
    </row>
    <row r="1173" spans="1:9" ht="37.5">
      <c r="A1173" s="1081"/>
      <c r="B1173" s="475" t="s">
        <v>1285</v>
      </c>
      <c r="C1173" s="530">
        <v>11278</v>
      </c>
      <c r="D1173" s="530">
        <v>11278</v>
      </c>
      <c r="E1173" s="905"/>
      <c r="F1173" s="841"/>
      <c r="G1173" s="841"/>
      <c r="H1173" s="840">
        <f t="shared" si="36"/>
        <v>0</v>
      </c>
      <c r="I1173" s="840">
        <f t="shared" si="37"/>
        <v>22556</v>
      </c>
    </row>
    <row r="1174" spans="1:9" ht="37.5">
      <c r="A1174" s="1081"/>
      <c r="B1174" s="475" t="s">
        <v>1286</v>
      </c>
      <c r="C1174" s="530">
        <v>20000</v>
      </c>
      <c r="D1174" s="530"/>
      <c r="E1174" s="905">
        <v>20000</v>
      </c>
      <c r="F1174" s="841"/>
      <c r="G1174" s="841"/>
      <c r="H1174" s="840">
        <f t="shared" si="36"/>
        <v>0</v>
      </c>
      <c r="I1174" s="840">
        <f t="shared" si="37"/>
        <v>40000</v>
      </c>
    </row>
    <row r="1175" spans="1:9" ht="131.25">
      <c r="A1175" s="1081"/>
      <c r="B1175" s="475" t="s">
        <v>1287</v>
      </c>
      <c r="C1175" s="530">
        <v>20000</v>
      </c>
      <c r="D1175" s="530">
        <v>20000</v>
      </c>
      <c r="E1175" s="905"/>
      <c r="F1175" s="841"/>
      <c r="G1175" s="841"/>
      <c r="H1175" s="840">
        <f t="shared" si="36"/>
        <v>0</v>
      </c>
      <c r="I1175" s="840">
        <f t="shared" si="37"/>
        <v>40000</v>
      </c>
    </row>
    <row r="1176" spans="1:9" ht="37.5">
      <c r="A1176" s="1081"/>
      <c r="B1176" s="475" t="s">
        <v>1664</v>
      </c>
      <c r="C1176" s="530">
        <v>10000</v>
      </c>
      <c r="D1176" s="530">
        <v>10000</v>
      </c>
      <c r="E1176" s="905"/>
      <c r="F1176" s="841"/>
      <c r="G1176" s="841"/>
      <c r="H1176" s="840">
        <f t="shared" si="36"/>
        <v>0</v>
      </c>
      <c r="I1176" s="840">
        <f t="shared" si="37"/>
        <v>20000</v>
      </c>
    </row>
    <row r="1177" spans="1:9" ht="75">
      <c r="A1177" s="1081"/>
      <c r="B1177" s="475" t="s">
        <v>1288</v>
      </c>
      <c r="C1177" s="530">
        <v>50000</v>
      </c>
      <c r="D1177" s="530">
        <v>50000</v>
      </c>
      <c r="E1177" s="905"/>
      <c r="F1177" s="841"/>
      <c r="G1177" s="841"/>
      <c r="H1177" s="840">
        <f t="shared" si="36"/>
        <v>0</v>
      </c>
      <c r="I1177" s="840">
        <f t="shared" si="37"/>
        <v>100000</v>
      </c>
    </row>
    <row r="1178" spans="1:9" ht="75">
      <c r="A1178" s="1081"/>
      <c r="B1178" s="890" t="s">
        <v>1896</v>
      </c>
      <c r="C1178" s="911">
        <v>50000</v>
      </c>
      <c r="D1178" s="911">
        <v>50000</v>
      </c>
      <c r="E1178" s="911"/>
      <c r="F1178" s="841"/>
      <c r="G1178" s="841"/>
      <c r="H1178" s="840">
        <f t="shared" si="36"/>
        <v>0</v>
      </c>
      <c r="I1178" s="840">
        <f t="shared" si="37"/>
        <v>100000</v>
      </c>
    </row>
    <row r="1179" spans="1:9" ht="56.25">
      <c r="A1179" s="1081"/>
      <c r="B1179" s="535" t="s">
        <v>2057</v>
      </c>
      <c r="C1179" s="915">
        <v>20000</v>
      </c>
      <c r="D1179" s="915">
        <v>20000</v>
      </c>
      <c r="E1179" s="914"/>
      <c r="F1179" s="841"/>
      <c r="G1179" s="841"/>
      <c r="H1179" s="840">
        <f t="shared" si="36"/>
        <v>0</v>
      </c>
      <c r="I1179" s="840">
        <f t="shared" si="37"/>
        <v>40000</v>
      </c>
    </row>
    <row r="1180" spans="1:9" ht="56.25">
      <c r="A1180" s="1081"/>
      <c r="B1180" s="475" t="s">
        <v>2458</v>
      </c>
      <c r="C1180" s="908">
        <v>15605</v>
      </c>
      <c r="D1180" s="908">
        <v>15605</v>
      </c>
      <c r="E1180" s="905"/>
      <c r="F1180" s="841"/>
      <c r="G1180" s="841"/>
      <c r="H1180" s="840">
        <f t="shared" si="36"/>
        <v>0</v>
      </c>
      <c r="I1180" s="840">
        <f t="shared" si="37"/>
        <v>31210</v>
      </c>
    </row>
    <row r="1181" spans="1:9" ht="56.25">
      <c r="A1181" s="1081"/>
      <c r="B1181" s="475" t="s">
        <v>2763</v>
      </c>
      <c r="C1181" s="908">
        <v>30000</v>
      </c>
      <c r="D1181" s="908"/>
      <c r="E1181" s="905">
        <v>30000</v>
      </c>
      <c r="F1181" s="841"/>
      <c r="G1181" s="841"/>
      <c r="H1181" s="840">
        <f t="shared" si="36"/>
        <v>0</v>
      </c>
      <c r="I1181" s="840">
        <f t="shared" si="37"/>
        <v>60000</v>
      </c>
    </row>
    <row r="1182" spans="1:9" ht="112.5">
      <c r="A1182" s="1081"/>
      <c r="B1182" s="475" t="s">
        <v>2764</v>
      </c>
      <c r="C1182" s="908">
        <v>30000</v>
      </c>
      <c r="D1182" s="908">
        <v>30000</v>
      </c>
      <c r="E1182" s="905"/>
      <c r="F1182" s="841"/>
      <c r="G1182" s="841"/>
      <c r="H1182" s="840">
        <f t="shared" si="36"/>
        <v>0</v>
      </c>
      <c r="I1182" s="840">
        <f t="shared" si="37"/>
        <v>60000</v>
      </c>
    </row>
    <row r="1183" spans="1:9" ht="112.5">
      <c r="A1183" s="1081"/>
      <c r="B1183" s="475" t="s">
        <v>2765</v>
      </c>
      <c r="C1183" s="915">
        <v>22000</v>
      </c>
      <c r="D1183" s="915">
        <v>22000</v>
      </c>
      <c r="E1183" s="914"/>
      <c r="F1183" s="841"/>
      <c r="G1183" s="841"/>
      <c r="H1183" s="840">
        <f t="shared" si="36"/>
        <v>0</v>
      </c>
      <c r="I1183" s="840">
        <f t="shared" si="37"/>
        <v>44000</v>
      </c>
    </row>
    <row r="1184" spans="1:9" ht="56.25">
      <c r="A1184" s="1081"/>
      <c r="B1184" s="475" t="s">
        <v>2766</v>
      </c>
      <c r="C1184" s="908">
        <v>10000</v>
      </c>
      <c r="D1184" s="908"/>
      <c r="E1184" s="905">
        <v>10000</v>
      </c>
      <c r="F1184" s="841"/>
      <c r="G1184" s="841"/>
      <c r="H1184" s="840">
        <f t="shared" si="36"/>
        <v>0</v>
      </c>
      <c r="I1184" s="840">
        <f t="shared" si="37"/>
        <v>20000</v>
      </c>
    </row>
    <row r="1185" spans="1:9" ht="56.25">
      <c r="A1185" s="1081"/>
      <c r="B1185" s="475" t="s">
        <v>2767</v>
      </c>
      <c r="C1185" s="908">
        <v>10000</v>
      </c>
      <c r="D1185" s="908">
        <v>10000</v>
      </c>
      <c r="E1185" s="905"/>
      <c r="F1185" s="841"/>
      <c r="G1185" s="841"/>
      <c r="H1185" s="840">
        <f t="shared" si="36"/>
        <v>0</v>
      </c>
      <c r="I1185" s="840">
        <f t="shared" si="37"/>
        <v>20000</v>
      </c>
    </row>
    <row r="1186" spans="1:9" hidden="1">
      <c r="A1186" s="1081"/>
      <c r="B1186" s="475"/>
      <c r="C1186" s="934"/>
      <c r="D1186" s="934"/>
      <c r="E1186" s="934"/>
      <c r="F1186" s="841"/>
      <c r="G1186" s="841"/>
      <c r="H1186" s="840">
        <f t="shared" si="36"/>
        <v>0</v>
      </c>
      <c r="I1186" s="840">
        <f t="shared" si="37"/>
        <v>0</v>
      </c>
    </row>
    <row r="1187" spans="1:9" hidden="1">
      <c r="A1187" s="1081"/>
      <c r="B1187" s="475"/>
      <c r="C1187" s="934"/>
      <c r="D1187" s="934"/>
      <c r="E1187" s="934"/>
      <c r="F1187" s="841"/>
      <c r="G1187" s="841"/>
      <c r="H1187" s="840">
        <f t="shared" si="36"/>
        <v>0</v>
      </c>
      <c r="I1187" s="840">
        <f t="shared" si="37"/>
        <v>0</v>
      </c>
    </row>
    <row r="1188" spans="1:9" hidden="1">
      <c r="A1188" s="1081"/>
      <c r="B1188" s="475"/>
      <c r="C1188" s="916"/>
      <c r="D1188" s="916"/>
      <c r="E1188" s="905"/>
      <c r="F1188" s="841"/>
      <c r="G1188" s="841"/>
      <c r="H1188" s="840">
        <f t="shared" si="36"/>
        <v>0</v>
      </c>
      <c r="I1188" s="840">
        <f t="shared" si="37"/>
        <v>0</v>
      </c>
    </row>
    <row r="1189" spans="1:9" hidden="1">
      <c r="A1189" s="1081"/>
      <c r="B1189" s="475"/>
      <c r="C1189" s="916"/>
      <c r="D1189" s="916"/>
      <c r="E1189" s="905"/>
      <c r="F1189" s="841"/>
      <c r="G1189" s="841"/>
      <c r="H1189" s="840">
        <f t="shared" si="36"/>
        <v>0</v>
      </c>
      <c r="I1189" s="840">
        <f t="shared" si="37"/>
        <v>0</v>
      </c>
    </row>
    <row r="1190" spans="1:9" hidden="1">
      <c r="A1190" s="1081"/>
      <c r="B1190" s="475"/>
      <c r="C1190" s="916"/>
      <c r="D1190" s="916"/>
      <c r="E1190" s="905"/>
      <c r="F1190" s="841"/>
      <c r="G1190" s="841"/>
      <c r="H1190" s="840">
        <f t="shared" si="36"/>
        <v>0</v>
      </c>
      <c r="I1190" s="840">
        <f t="shared" si="37"/>
        <v>0</v>
      </c>
    </row>
    <row r="1191" spans="1:9" hidden="1">
      <c r="A1191" s="1081"/>
      <c r="B1191" s="475"/>
      <c r="C1191" s="905"/>
      <c r="D1191" s="905"/>
      <c r="E1191" s="905"/>
      <c r="F1191" s="841"/>
      <c r="G1191" s="841"/>
      <c r="H1191" s="840">
        <f t="shared" si="36"/>
        <v>0</v>
      </c>
      <c r="I1191" s="840">
        <f t="shared" si="37"/>
        <v>0</v>
      </c>
    </row>
    <row r="1192" spans="1:9" hidden="1">
      <c r="A1192" s="1081"/>
      <c r="B1192" s="475"/>
      <c r="C1192" s="916"/>
      <c r="D1192" s="916"/>
      <c r="E1192" s="905"/>
      <c r="F1192" s="841"/>
      <c r="G1192" s="841"/>
      <c r="H1192" s="840">
        <f t="shared" si="36"/>
        <v>0</v>
      </c>
      <c r="I1192" s="840">
        <f t="shared" si="37"/>
        <v>0</v>
      </c>
    </row>
    <row r="1193" spans="1:9" hidden="1">
      <c r="A1193" s="1081"/>
      <c r="B1193" s="475"/>
      <c r="C1193" s="916"/>
      <c r="D1193" s="916"/>
      <c r="E1193" s="905"/>
      <c r="F1193" s="841"/>
      <c r="G1193" s="841"/>
      <c r="H1193" s="840">
        <f t="shared" si="36"/>
        <v>0</v>
      </c>
      <c r="I1193" s="840">
        <f t="shared" si="37"/>
        <v>0</v>
      </c>
    </row>
    <row r="1194" spans="1:9" hidden="1">
      <c r="A1194" s="1081"/>
      <c r="B1194" s="475"/>
      <c r="C1194" s="916"/>
      <c r="D1194" s="916"/>
      <c r="E1194" s="905"/>
      <c r="F1194" s="841"/>
      <c r="G1194" s="841"/>
      <c r="H1194" s="840">
        <f t="shared" si="36"/>
        <v>0</v>
      </c>
      <c r="I1194" s="840">
        <f t="shared" si="37"/>
        <v>0</v>
      </c>
    </row>
    <row r="1195" spans="1:9" hidden="1">
      <c r="A1195" s="1081"/>
      <c r="B1195" s="475"/>
      <c r="C1195" s="916"/>
      <c r="D1195" s="916"/>
      <c r="E1195" s="905"/>
      <c r="F1195" s="841"/>
      <c r="G1195" s="841"/>
      <c r="H1195" s="840">
        <f t="shared" si="36"/>
        <v>0</v>
      </c>
      <c r="I1195" s="840">
        <f t="shared" si="37"/>
        <v>0</v>
      </c>
    </row>
    <row r="1196" spans="1:9" hidden="1">
      <c r="A1196" s="1081"/>
      <c r="B1196" s="898"/>
      <c r="C1196" s="935"/>
      <c r="D1196" s="935"/>
      <c r="E1196" s="934"/>
      <c r="F1196" s="841"/>
      <c r="G1196" s="841"/>
      <c r="H1196" s="840">
        <f t="shared" si="36"/>
        <v>0</v>
      </c>
      <c r="I1196" s="840">
        <f t="shared" si="37"/>
        <v>0</v>
      </c>
    </row>
    <row r="1197" spans="1:9" hidden="1">
      <c r="A1197" s="1081"/>
      <c r="B1197" s="475"/>
      <c r="C1197" s="916"/>
      <c r="D1197" s="916"/>
      <c r="E1197" s="905"/>
      <c r="F1197" s="841"/>
      <c r="G1197" s="841"/>
      <c r="H1197" s="840">
        <f t="shared" si="36"/>
        <v>0</v>
      </c>
      <c r="I1197" s="840">
        <f t="shared" si="37"/>
        <v>0</v>
      </c>
    </row>
    <row r="1198" spans="1:9" hidden="1">
      <c r="A1198" s="1081"/>
      <c r="B1198" s="475"/>
      <c r="C1198" s="905"/>
      <c r="D1198" s="905"/>
      <c r="E1198" s="905"/>
      <c r="F1198" s="841"/>
      <c r="G1198" s="841"/>
      <c r="H1198" s="840">
        <f t="shared" si="36"/>
        <v>0</v>
      </c>
      <c r="I1198" s="840">
        <f t="shared" si="37"/>
        <v>0</v>
      </c>
    </row>
    <row r="1199" spans="1:9" hidden="1">
      <c r="A1199" s="1081"/>
      <c r="B1199" s="475"/>
      <c r="C1199" s="916"/>
      <c r="D1199" s="916"/>
      <c r="E1199" s="905"/>
      <c r="F1199" s="841"/>
      <c r="G1199" s="841"/>
      <c r="H1199" s="840">
        <f t="shared" si="36"/>
        <v>0</v>
      </c>
      <c r="I1199" s="840">
        <f t="shared" si="37"/>
        <v>0</v>
      </c>
    </row>
    <row r="1200" spans="1:9" hidden="1">
      <c r="A1200" s="1081"/>
      <c r="B1200" s="475"/>
      <c r="C1200" s="916"/>
      <c r="D1200" s="916"/>
      <c r="E1200" s="905"/>
      <c r="F1200" s="841"/>
      <c r="G1200" s="841"/>
      <c r="H1200" s="840">
        <f t="shared" si="36"/>
        <v>0</v>
      </c>
      <c r="I1200" s="840">
        <f t="shared" si="37"/>
        <v>0</v>
      </c>
    </row>
    <row r="1201" spans="1:9" hidden="1">
      <c r="A1201" s="1081"/>
      <c r="B1201" s="475"/>
      <c r="C1201" s="905"/>
      <c r="D1201" s="931"/>
      <c r="E1201" s="931"/>
      <c r="F1201" s="841"/>
      <c r="G1201" s="841"/>
      <c r="H1201" s="840">
        <f t="shared" si="36"/>
        <v>0</v>
      </c>
      <c r="I1201" s="840">
        <f t="shared" si="37"/>
        <v>0</v>
      </c>
    </row>
    <row r="1202" spans="1:9" hidden="1">
      <c r="A1202" s="1081"/>
      <c r="B1202" s="887"/>
      <c r="C1202" s="916"/>
      <c r="D1202" s="916"/>
      <c r="E1202" s="907"/>
      <c r="F1202" s="841"/>
      <c r="G1202" s="841"/>
      <c r="H1202" s="840">
        <f t="shared" si="36"/>
        <v>0</v>
      </c>
      <c r="I1202" s="840">
        <f t="shared" si="37"/>
        <v>0</v>
      </c>
    </row>
    <row r="1203" spans="1:9" hidden="1">
      <c r="A1203" s="1081"/>
      <c r="B1203" s="887"/>
      <c r="C1203" s="916"/>
      <c r="D1203" s="916"/>
      <c r="E1203" s="907"/>
      <c r="F1203" s="841"/>
      <c r="G1203" s="841"/>
      <c r="H1203" s="840">
        <f t="shared" si="36"/>
        <v>0</v>
      </c>
      <c r="I1203" s="840">
        <f t="shared" si="37"/>
        <v>0</v>
      </c>
    </row>
    <row r="1204" spans="1:9" hidden="1">
      <c r="A1204" s="1081"/>
      <c r="B1204" s="887"/>
      <c r="C1204" s="916"/>
      <c r="D1204" s="916"/>
      <c r="E1204" s="907"/>
      <c r="F1204" s="841"/>
      <c r="G1204" s="841"/>
      <c r="H1204" s="840">
        <f t="shared" si="36"/>
        <v>0</v>
      </c>
      <c r="I1204" s="840">
        <f t="shared" si="37"/>
        <v>0</v>
      </c>
    </row>
    <row r="1205" spans="1:9" hidden="1">
      <c r="A1205" s="1081"/>
      <c r="B1205" s="858"/>
      <c r="C1205" s="916"/>
      <c r="D1205" s="916"/>
      <c r="E1205" s="907"/>
      <c r="F1205" s="841"/>
      <c r="G1205" s="841"/>
      <c r="H1205" s="840">
        <f t="shared" si="36"/>
        <v>0</v>
      </c>
      <c r="I1205" s="840">
        <f t="shared" si="37"/>
        <v>0</v>
      </c>
    </row>
    <row r="1206" spans="1:9" hidden="1">
      <c r="A1206" s="1081"/>
      <c r="B1206" s="475"/>
      <c r="C1206" s="916"/>
      <c r="D1206" s="916"/>
      <c r="E1206" s="905"/>
      <c r="F1206" s="841"/>
      <c r="G1206" s="841"/>
      <c r="H1206" s="840">
        <f t="shared" si="36"/>
        <v>0</v>
      </c>
      <c r="I1206" s="840">
        <f t="shared" si="37"/>
        <v>0</v>
      </c>
    </row>
    <row r="1207" spans="1:9" hidden="1">
      <c r="A1207" s="1081"/>
      <c r="B1207" s="475"/>
      <c r="C1207" s="916"/>
      <c r="D1207" s="916"/>
      <c r="E1207" s="905"/>
      <c r="F1207" s="841"/>
      <c r="G1207" s="841"/>
      <c r="H1207" s="840">
        <f t="shared" si="36"/>
        <v>0</v>
      </c>
      <c r="I1207" s="840">
        <f t="shared" si="37"/>
        <v>0</v>
      </c>
    </row>
    <row r="1208" spans="1:9" hidden="1">
      <c r="A1208" s="1081"/>
      <c r="B1208" s="475"/>
      <c r="C1208" s="916"/>
      <c r="D1208" s="916"/>
      <c r="E1208" s="905"/>
      <c r="F1208" s="841"/>
      <c r="G1208" s="841"/>
      <c r="H1208" s="840">
        <f t="shared" si="36"/>
        <v>0</v>
      </c>
      <c r="I1208" s="840">
        <f t="shared" si="37"/>
        <v>0</v>
      </c>
    </row>
    <row r="1209" spans="1:9" hidden="1">
      <c r="A1209" s="1081"/>
      <c r="B1209" s="475"/>
      <c r="C1209" s="916"/>
      <c r="D1209" s="916"/>
      <c r="E1209" s="905"/>
      <c r="F1209" s="841"/>
      <c r="G1209" s="841"/>
      <c r="H1209" s="840">
        <f t="shared" si="36"/>
        <v>0</v>
      </c>
      <c r="I1209" s="840">
        <f t="shared" si="37"/>
        <v>0</v>
      </c>
    </row>
    <row r="1210" spans="1:9" hidden="1">
      <c r="A1210" s="1081"/>
      <c r="B1210" s="475"/>
      <c r="C1210" s="916"/>
      <c r="D1210" s="916"/>
      <c r="E1210" s="905"/>
      <c r="F1210" s="841"/>
      <c r="G1210" s="841"/>
      <c r="H1210" s="840">
        <f t="shared" si="36"/>
        <v>0</v>
      </c>
      <c r="I1210" s="840">
        <f t="shared" si="37"/>
        <v>0</v>
      </c>
    </row>
    <row r="1211" spans="1:9" hidden="1">
      <c r="A1211" s="1081"/>
      <c r="B1211" s="475"/>
      <c r="C1211" s="916"/>
      <c r="D1211" s="916"/>
      <c r="E1211" s="905"/>
      <c r="F1211" s="841"/>
      <c r="G1211" s="841"/>
      <c r="H1211" s="840">
        <f t="shared" si="36"/>
        <v>0</v>
      </c>
      <c r="I1211" s="840">
        <f t="shared" si="37"/>
        <v>0</v>
      </c>
    </row>
    <row r="1212" spans="1:9" hidden="1">
      <c r="A1212" s="1081"/>
      <c r="B1212" s="475"/>
      <c r="C1212" s="916"/>
      <c r="D1212" s="916"/>
      <c r="E1212" s="905"/>
      <c r="F1212" s="841"/>
      <c r="G1212" s="841"/>
      <c r="H1212" s="840">
        <f t="shared" si="36"/>
        <v>0</v>
      </c>
      <c r="I1212" s="840">
        <f t="shared" si="37"/>
        <v>0</v>
      </c>
    </row>
    <row r="1213" spans="1:9" hidden="1">
      <c r="A1213" s="1081"/>
      <c r="B1213" s="475"/>
      <c r="C1213" s="916"/>
      <c r="D1213" s="916"/>
      <c r="E1213" s="905"/>
      <c r="F1213" s="841"/>
      <c r="G1213" s="841"/>
      <c r="H1213" s="840">
        <f t="shared" si="36"/>
        <v>0</v>
      </c>
      <c r="I1213" s="840">
        <f t="shared" si="37"/>
        <v>0</v>
      </c>
    </row>
    <row r="1214" spans="1:9" hidden="1">
      <c r="A1214" s="1081"/>
      <c r="B1214" s="475"/>
      <c r="C1214" s="916"/>
      <c r="D1214" s="916"/>
      <c r="E1214" s="905"/>
      <c r="F1214" s="841"/>
      <c r="G1214" s="841"/>
      <c r="H1214" s="840">
        <f t="shared" si="36"/>
        <v>0</v>
      </c>
      <c r="I1214" s="840">
        <f t="shared" si="37"/>
        <v>0</v>
      </c>
    </row>
    <row r="1215" spans="1:9" hidden="1">
      <c r="A1215" s="1081"/>
      <c r="B1215" s="475"/>
      <c r="C1215" s="916"/>
      <c r="D1215" s="916"/>
      <c r="E1215" s="905"/>
      <c r="F1215" s="841"/>
      <c r="G1215" s="841"/>
      <c r="H1215" s="840">
        <f t="shared" si="36"/>
        <v>0</v>
      </c>
      <c r="I1215" s="840">
        <f t="shared" si="37"/>
        <v>0</v>
      </c>
    </row>
    <row r="1216" spans="1:9" hidden="1">
      <c r="A1216" s="1081"/>
      <c r="B1216" s="475"/>
      <c r="C1216" s="916"/>
      <c r="D1216" s="916"/>
      <c r="E1216" s="905"/>
      <c r="F1216" s="841"/>
      <c r="G1216" s="841"/>
      <c r="H1216" s="840">
        <f t="shared" si="36"/>
        <v>0</v>
      </c>
      <c r="I1216" s="840">
        <f t="shared" si="37"/>
        <v>0</v>
      </c>
    </row>
    <row r="1217" spans="1:9" hidden="1">
      <c r="A1217" s="1081"/>
      <c r="B1217" s="475"/>
      <c r="C1217" s="916"/>
      <c r="D1217" s="916"/>
      <c r="E1217" s="905"/>
      <c r="F1217" s="841"/>
      <c r="G1217" s="841"/>
      <c r="H1217" s="840">
        <f t="shared" si="36"/>
        <v>0</v>
      </c>
      <c r="I1217" s="840">
        <f t="shared" si="37"/>
        <v>0</v>
      </c>
    </row>
    <row r="1218" spans="1:9" hidden="1">
      <c r="A1218" s="1081"/>
      <c r="B1218" s="475"/>
      <c r="C1218" s="916"/>
      <c r="D1218" s="916"/>
      <c r="E1218" s="905"/>
      <c r="F1218" s="841"/>
      <c r="G1218" s="841"/>
      <c r="H1218" s="840">
        <f t="shared" si="36"/>
        <v>0</v>
      </c>
      <c r="I1218" s="840">
        <f t="shared" si="37"/>
        <v>0</v>
      </c>
    </row>
    <row r="1219" spans="1:9" hidden="1">
      <c r="A1219" s="1081"/>
      <c r="B1219" s="475"/>
      <c r="C1219" s="916"/>
      <c r="D1219" s="916"/>
      <c r="E1219" s="905"/>
      <c r="F1219" s="841"/>
      <c r="G1219" s="841"/>
      <c r="H1219" s="840">
        <f t="shared" si="36"/>
        <v>0</v>
      </c>
      <c r="I1219" s="840">
        <f t="shared" si="37"/>
        <v>0</v>
      </c>
    </row>
    <row r="1220" spans="1:9" hidden="1">
      <c r="A1220" s="1081"/>
      <c r="B1220" s="475"/>
      <c r="C1220" s="916"/>
      <c r="D1220" s="916"/>
      <c r="E1220" s="905"/>
      <c r="F1220" s="841"/>
      <c r="G1220" s="841"/>
      <c r="H1220" s="840">
        <f t="shared" si="36"/>
        <v>0</v>
      </c>
      <c r="I1220" s="840">
        <f t="shared" si="37"/>
        <v>0</v>
      </c>
    </row>
    <row r="1221" spans="1:9" hidden="1">
      <c r="A1221" s="1081"/>
      <c r="B1221" s="475"/>
      <c r="C1221" s="916"/>
      <c r="D1221" s="916"/>
      <c r="E1221" s="905"/>
      <c r="F1221" s="841"/>
      <c r="G1221" s="841"/>
      <c r="H1221" s="840">
        <f t="shared" si="36"/>
        <v>0</v>
      </c>
      <c r="I1221" s="840">
        <f t="shared" si="37"/>
        <v>0</v>
      </c>
    </row>
    <row r="1222" spans="1:9" hidden="1">
      <c r="A1222" s="1081"/>
      <c r="B1222" s="475"/>
      <c r="C1222" s="916"/>
      <c r="D1222" s="916"/>
      <c r="E1222" s="905"/>
      <c r="F1222" s="841"/>
      <c r="G1222" s="841"/>
      <c r="H1222" s="840">
        <f t="shared" si="36"/>
        <v>0</v>
      </c>
      <c r="I1222" s="840">
        <f t="shared" si="37"/>
        <v>0</v>
      </c>
    </row>
    <row r="1223" spans="1:9" hidden="1">
      <c r="A1223" s="1081"/>
      <c r="B1223" s="475"/>
      <c r="C1223" s="916"/>
      <c r="D1223" s="916"/>
      <c r="E1223" s="905"/>
      <c r="F1223" s="841"/>
      <c r="G1223" s="841"/>
      <c r="H1223" s="840">
        <f t="shared" si="36"/>
        <v>0</v>
      </c>
      <c r="I1223" s="840">
        <f t="shared" si="37"/>
        <v>0</v>
      </c>
    </row>
    <row r="1224" spans="1:9" hidden="1">
      <c r="A1224" s="1081"/>
      <c r="B1224" s="475"/>
      <c r="C1224" s="916"/>
      <c r="D1224" s="916"/>
      <c r="E1224" s="905"/>
      <c r="F1224" s="841"/>
      <c r="G1224" s="841"/>
      <c r="H1224" s="840">
        <f t="shared" si="36"/>
        <v>0</v>
      </c>
      <c r="I1224" s="840">
        <f t="shared" si="37"/>
        <v>0</v>
      </c>
    </row>
    <row r="1225" spans="1:9" hidden="1">
      <c r="A1225" s="1081"/>
      <c r="B1225" s="475"/>
      <c r="C1225" s="916"/>
      <c r="D1225" s="916"/>
      <c r="E1225" s="905"/>
      <c r="F1225" s="841"/>
      <c r="G1225" s="841"/>
      <c r="H1225" s="840">
        <f t="shared" ref="H1225:H1288" si="38">E1225+D1225-C1225</f>
        <v>0</v>
      </c>
      <c r="I1225" s="840">
        <f t="shared" ref="I1225:I1288" si="39">SUM(C1225:E1225)</f>
        <v>0</v>
      </c>
    </row>
    <row r="1226" spans="1:9" hidden="1">
      <c r="A1226" s="1081"/>
      <c r="B1226" s="475"/>
      <c r="C1226" s="916"/>
      <c r="D1226" s="916"/>
      <c r="E1226" s="905"/>
      <c r="F1226" s="841"/>
      <c r="G1226" s="841"/>
      <c r="H1226" s="840">
        <f t="shared" si="38"/>
        <v>0</v>
      </c>
      <c r="I1226" s="840">
        <f t="shared" si="39"/>
        <v>0</v>
      </c>
    </row>
    <row r="1227" spans="1:9" hidden="1">
      <c r="A1227" s="1081"/>
      <c r="B1227" s="475"/>
      <c r="C1227" s="916"/>
      <c r="D1227" s="916"/>
      <c r="E1227" s="905"/>
      <c r="F1227" s="841"/>
      <c r="G1227" s="841"/>
      <c r="H1227" s="840">
        <f t="shared" si="38"/>
        <v>0</v>
      </c>
      <c r="I1227" s="840">
        <f t="shared" si="39"/>
        <v>0</v>
      </c>
    </row>
    <row r="1228" spans="1:9" hidden="1">
      <c r="A1228" s="1081"/>
      <c r="B1228" s="475"/>
      <c r="C1228" s="916"/>
      <c r="D1228" s="916"/>
      <c r="E1228" s="905"/>
      <c r="F1228" s="841"/>
      <c r="G1228" s="841"/>
      <c r="H1228" s="840">
        <f t="shared" si="38"/>
        <v>0</v>
      </c>
      <c r="I1228" s="840">
        <f t="shared" si="39"/>
        <v>0</v>
      </c>
    </row>
    <row r="1229" spans="1:9" hidden="1">
      <c r="A1229" s="1081"/>
      <c r="B1229" s="475"/>
      <c r="C1229" s="916"/>
      <c r="D1229" s="916"/>
      <c r="E1229" s="905"/>
      <c r="F1229" s="841"/>
      <c r="G1229" s="841"/>
      <c r="H1229" s="840">
        <f t="shared" si="38"/>
        <v>0</v>
      </c>
      <c r="I1229" s="840">
        <f t="shared" si="39"/>
        <v>0</v>
      </c>
    </row>
    <row r="1230" spans="1:9" hidden="1">
      <c r="A1230" s="1081"/>
      <c r="B1230" s="475"/>
      <c r="C1230" s="916"/>
      <c r="D1230" s="916"/>
      <c r="E1230" s="905"/>
      <c r="F1230" s="841"/>
      <c r="G1230" s="841"/>
      <c r="H1230" s="840">
        <f t="shared" si="38"/>
        <v>0</v>
      </c>
      <c r="I1230" s="840">
        <f t="shared" si="39"/>
        <v>0</v>
      </c>
    </row>
    <row r="1231" spans="1:9" hidden="1">
      <c r="A1231" s="1081"/>
      <c r="B1231" s="475"/>
      <c r="C1231" s="916"/>
      <c r="D1231" s="916"/>
      <c r="E1231" s="905"/>
      <c r="F1231" s="841"/>
      <c r="G1231" s="841"/>
      <c r="H1231" s="840">
        <f t="shared" si="38"/>
        <v>0</v>
      </c>
      <c r="I1231" s="840">
        <f t="shared" si="39"/>
        <v>0</v>
      </c>
    </row>
    <row r="1232" spans="1:9" hidden="1">
      <c r="A1232" s="1081"/>
      <c r="B1232" s="475"/>
      <c r="C1232" s="916"/>
      <c r="D1232" s="916"/>
      <c r="E1232" s="905"/>
      <c r="F1232" s="841"/>
      <c r="G1232" s="841"/>
      <c r="H1232" s="840">
        <f t="shared" si="38"/>
        <v>0</v>
      </c>
      <c r="I1232" s="840">
        <f t="shared" si="39"/>
        <v>0</v>
      </c>
    </row>
    <row r="1233" spans="1:9" hidden="1">
      <c r="A1233" s="1081"/>
      <c r="B1233" s="475"/>
      <c r="C1233" s="916"/>
      <c r="D1233" s="916"/>
      <c r="E1233" s="905"/>
      <c r="F1233" s="841"/>
      <c r="G1233" s="841"/>
      <c r="H1233" s="840">
        <f t="shared" si="38"/>
        <v>0</v>
      </c>
      <c r="I1233" s="840">
        <f t="shared" si="39"/>
        <v>0</v>
      </c>
    </row>
    <row r="1234" spans="1:9" hidden="1">
      <c r="A1234" s="1081"/>
      <c r="B1234" s="475"/>
      <c r="C1234" s="916"/>
      <c r="D1234" s="916"/>
      <c r="E1234" s="905"/>
      <c r="F1234" s="841"/>
      <c r="G1234" s="841"/>
      <c r="H1234" s="840">
        <f t="shared" si="38"/>
        <v>0</v>
      </c>
      <c r="I1234" s="840">
        <f t="shared" si="39"/>
        <v>0</v>
      </c>
    </row>
    <row r="1235" spans="1:9" hidden="1">
      <c r="A1235" s="1081"/>
      <c r="B1235" s="475"/>
      <c r="C1235" s="916"/>
      <c r="D1235" s="916"/>
      <c r="E1235" s="905"/>
      <c r="F1235" s="841"/>
      <c r="G1235" s="841"/>
      <c r="H1235" s="840">
        <f t="shared" si="38"/>
        <v>0</v>
      </c>
      <c r="I1235" s="840">
        <f t="shared" si="39"/>
        <v>0</v>
      </c>
    </row>
    <row r="1236" spans="1:9" s="302" customFormat="1" hidden="1">
      <c r="A1236" s="1068"/>
      <c r="B1236" s="890"/>
      <c r="C1236" s="905"/>
      <c r="D1236" s="905"/>
      <c r="E1236" s="905"/>
      <c r="F1236" s="841"/>
      <c r="G1236" s="841"/>
      <c r="H1236" s="840">
        <f t="shared" si="38"/>
        <v>0</v>
      </c>
      <c r="I1236" s="840">
        <f t="shared" si="39"/>
        <v>0</v>
      </c>
    </row>
    <row r="1237" spans="1:9" s="302" customFormat="1" hidden="1">
      <c r="A1237" s="1068"/>
      <c r="B1237" s="890"/>
      <c r="C1237" s="905"/>
      <c r="D1237" s="905"/>
      <c r="E1237" s="905"/>
      <c r="F1237" s="841"/>
      <c r="G1237" s="841"/>
      <c r="H1237" s="840">
        <f t="shared" si="38"/>
        <v>0</v>
      </c>
      <c r="I1237" s="840">
        <f t="shared" si="39"/>
        <v>0</v>
      </c>
    </row>
    <row r="1238" spans="1:9" s="302" customFormat="1" hidden="1">
      <c r="A1238" s="1068"/>
      <c r="B1238" s="890"/>
      <c r="C1238" s="905"/>
      <c r="D1238" s="905"/>
      <c r="E1238" s="905"/>
      <c r="F1238" s="841"/>
      <c r="G1238" s="841"/>
      <c r="H1238" s="840">
        <f t="shared" si="38"/>
        <v>0</v>
      </c>
      <c r="I1238" s="840">
        <f t="shared" si="39"/>
        <v>0</v>
      </c>
    </row>
    <row r="1239" spans="1:9" s="302" customFormat="1" hidden="1">
      <c r="A1239" s="1068"/>
      <c r="B1239" s="890"/>
      <c r="C1239" s="905"/>
      <c r="D1239" s="905"/>
      <c r="E1239" s="905"/>
      <c r="F1239" s="841"/>
      <c r="G1239" s="841"/>
      <c r="H1239" s="840">
        <f t="shared" si="38"/>
        <v>0</v>
      </c>
      <c r="I1239" s="840">
        <f t="shared" si="39"/>
        <v>0</v>
      </c>
    </row>
    <row r="1240" spans="1:9" s="302" customFormat="1" hidden="1">
      <c r="A1240" s="1068"/>
      <c r="B1240" s="890"/>
      <c r="C1240" s="905"/>
      <c r="D1240" s="905"/>
      <c r="E1240" s="905"/>
      <c r="F1240" s="841"/>
      <c r="G1240" s="841"/>
      <c r="H1240" s="840">
        <f t="shared" si="38"/>
        <v>0</v>
      </c>
      <c r="I1240" s="840">
        <f t="shared" si="39"/>
        <v>0</v>
      </c>
    </row>
    <row r="1241" spans="1:9" s="302" customFormat="1" hidden="1">
      <c r="A1241" s="1068"/>
      <c r="B1241" s="890"/>
      <c r="C1241" s="905"/>
      <c r="D1241" s="905"/>
      <c r="E1241" s="905"/>
      <c r="F1241" s="841"/>
      <c r="G1241" s="841"/>
      <c r="H1241" s="840">
        <f t="shared" si="38"/>
        <v>0</v>
      </c>
      <c r="I1241" s="840">
        <f t="shared" si="39"/>
        <v>0</v>
      </c>
    </row>
    <row r="1242" spans="1:9" s="302" customFormat="1" hidden="1">
      <c r="A1242" s="1068"/>
      <c r="B1242" s="890"/>
      <c r="C1242" s="905"/>
      <c r="D1242" s="905"/>
      <c r="E1242" s="905"/>
      <c r="F1242" s="841"/>
      <c r="G1242" s="841"/>
      <c r="H1242" s="840">
        <f t="shared" si="38"/>
        <v>0</v>
      </c>
      <c r="I1242" s="840">
        <f t="shared" si="39"/>
        <v>0</v>
      </c>
    </row>
    <row r="1243" spans="1:9" s="302" customFormat="1" hidden="1">
      <c r="A1243" s="1068"/>
      <c r="B1243" s="890"/>
      <c r="C1243" s="905"/>
      <c r="D1243" s="905"/>
      <c r="E1243" s="905"/>
      <c r="F1243" s="841"/>
      <c r="G1243" s="841"/>
      <c r="H1243" s="840">
        <f t="shared" si="38"/>
        <v>0</v>
      </c>
      <c r="I1243" s="840">
        <f t="shared" si="39"/>
        <v>0</v>
      </c>
    </row>
    <row r="1244" spans="1:9" s="302" customFormat="1" hidden="1">
      <c r="A1244" s="1068"/>
      <c r="B1244" s="890"/>
      <c r="C1244" s="905"/>
      <c r="D1244" s="905"/>
      <c r="E1244" s="905"/>
      <c r="F1244" s="841"/>
      <c r="G1244" s="841"/>
      <c r="H1244" s="840">
        <f t="shared" si="38"/>
        <v>0</v>
      </c>
      <c r="I1244" s="840">
        <f t="shared" si="39"/>
        <v>0</v>
      </c>
    </row>
    <row r="1245" spans="1:9" s="302" customFormat="1" hidden="1">
      <c r="A1245" s="1068"/>
      <c r="B1245" s="890"/>
      <c r="C1245" s="905"/>
      <c r="D1245" s="905"/>
      <c r="E1245" s="905"/>
      <c r="F1245" s="841"/>
      <c r="G1245" s="841"/>
      <c r="H1245" s="840">
        <f t="shared" si="38"/>
        <v>0</v>
      </c>
      <c r="I1245" s="840">
        <f t="shared" si="39"/>
        <v>0</v>
      </c>
    </row>
    <row r="1246" spans="1:9" s="302" customFormat="1" hidden="1">
      <c r="A1246" s="1068"/>
      <c r="B1246" s="890"/>
      <c r="C1246" s="905"/>
      <c r="D1246" s="905"/>
      <c r="E1246" s="905"/>
      <c r="F1246" s="841"/>
      <c r="G1246" s="841"/>
      <c r="H1246" s="840">
        <f t="shared" si="38"/>
        <v>0</v>
      </c>
      <c r="I1246" s="840">
        <f t="shared" si="39"/>
        <v>0</v>
      </c>
    </row>
    <row r="1247" spans="1:9" s="302" customFormat="1" ht="18" hidden="1" customHeight="1">
      <c r="A1247" s="1071"/>
      <c r="B1247" s="894"/>
      <c r="C1247" s="926"/>
      <c r="D1247" s="922"/>
      <c r="E1247" s="922"/>
      <c r="F1247" s="841"/>
      <c r="G1247" s="841"/>
      <c r="H1247" s="840">
        <f t="shared" si="38"/>
        <v>0</v>
      </c>
      <c r="I1247" s="840">
        <f t="shared" si="39"/>
        <v>0</v>
      </c>
    </row>
    <row r="1248" spans="1:9" s="302" customFormat="1" ht="18" hidden="1" customHeight="1">
      <c r="A1248" s="1071"/>
      <c r="B1248" s="475"/>
      <c r="C1248" s="905"/>
      <c r="D1248" s="916"/>
      <c r="E1248" s="916"/>
      <c r="F1248" s="841"/>
      <c r="G1248" s="841"/>
      <c r="H1248" s="840">
        <f t="shared" si="38"/>
        <v>0</v>
      </c>
      <c r="I1248" s="840">
        <f t="shared" si="39"/>
        <v>0</v>
      </c>
    </row>
    <row r="1249" spans="1:9" s="302" customFormat="1" ht="18" hidden="1" customHeight="1">
      <c r="A1249" s="1071"/>
      <c r="B1249" s="475"/>
      <c r="C1249" s="905"/>
      <c r="D1249" s="916"/>
      <c r="E1249" s="916"/>
      <c r="F1249" s="841"/>
      <c r="G1249" s="841"/>
      <c r="H1249" s="840">
        <f t="shared" si="38"/>
        <v>0</v>
      </c>
      <c r="I1249" s="840">
        <f t="shared" si="39"/>
        <v>0</v>
      </c>
    </row>
    <row r="1250" spans="1:9" s="302" customFormat="1" ht="18" hidden="1" customHeight="1">
      <c r="A1250" s="1071"/>
      <c r="B1250" s="475"/>
      <c r="C1250" s="905"/>
      <c r="D1250" s="916"/>
      <c r="E1250" s="916"/>
      <c r="F1250" s="841"/>
      <c r="G1250" s="841"/>
      <c r="H1250" s="840">
        <f t="shared" si="38"/>
        <v>0</v>
      </c>
      <c r="I1250" s="840">
        <f t="shared" si="39"/>
        <v>0</v>
      </c>
    </row>
    <row r="1251" spans="1:9" s="302" customFormat="1" ht="18" hidden="1" customHeight="1">
      <c r="A1251" s="1071"/>
      <c r="B1251" s="475"/>
      <c r="C1251" s="905"/>
      <c r="D1251" s="916"/>
      <c r="E1251" s="916"/>
      <c r="F1251" s="841"/>
      <c r="G1251" s="841"/>
      <c r="H1251" s="840">
        <f t="shared" si="38"/>
        <v>0</v>
      </c>
      <c r="I1251" s="840">
        <f t="shared" si="39"/>
        <v>0</v>
      </c>
    </row>
    <row r="1252" spans="1:9" s="302" customFormat="1" ht="18" hidden="1" customHeight="1">
      <c r="A1252" s="1071"/>
      <c r="B1252" s="475"/>
      <c r="C1252" s="905"/>
      <c r="D1252" s="916"/>
      <c r="E1252" s="916"/>
      <c r="F1252" s="841"/>
      <c r="G1252" s="841"/>
      <c r="H1252" s="840">
        <f t="shared" si="38"/>
        <v>0</v>
      </c>
      <c r="I1252" s="840">
        <f t="shared" si="39"/>
        <v>0</v>
      </c>
    </row>
    <row r="1253" spans="1:9" s="302" customFormat="1" ht="18" hidden="1" customHeight="1">
      <c r="A1253" s="1071"/>
      <c r="B1253" s="475"/>
      <c r="C1253" s="905"/>
      <c r="D1253" s="916"/>
      <c r="E1253" s="916"/>
      <c r="F1253" s="841"/>
      <c r="G1253" s="841"/>
      <c r="H1253" s="840">
        <f t="shared" si="38"/>
        <v>0</v>
      </c>
      <c r="I1253" s="840">
        <f t="shared" si="39"/>
        <v>0</v>
      </c>
    </row>
    <row r="1254" spans="1:9" s="302" customFormat="1" ht="18" hidden="1" customHeight="1">
      <c r="A1254" s="1071"/>
      <c r="B1254" s="475"/>
      <c r="C1254" s="905"/>
      <c r="D1254" s="916"/>
      <c r="E1254" s="916"/>
      <c r="F1254" s="841"/>
      <c r="G1254" s="841"/>
      <c r="H1254" s="840">
        <f t="shared" si="38"/>
        <v>0</v>
      </c>
      <c r="I1254" s="840">
        <f t="shared" si="39"/>
        <v>0</v>
      </c>
    </row>
    <row r="1255" spans="1:9" s="302" customFormat="1" ht="18" hidden="1" customHeight="1">
      <c r="A1255" s="1071"/>
      <c r="B1255" s="475"/>
      <c r="C1255" s="905"/>
      <c r="D1255" s="916"/>
      <c r="E1255" s="916"/>
      <c r="F1255" s="841"/>
      <c r="G1255" s="841"/>
      <c r="H1255" s="840">
        <f t="shared" si="38"/>
        <v>0</v>
      </c>
      <c r="I1255" s="840">
        <f t="shared" si="39"/>
        <v>0</v>
      </c>
    </row>
    <row r="1256" spans="1:9" s="302" customFormat="1" ht="18" hidden="1" customHeight="1">
      <c r="A1256" s="1071"/>
      <c r="B1256" s="475"/>
      <c r="C1256" s="905"/>
      <c r="D1256" s="916"/>
      <c r="E1256" s="916"/>
      <c r="F1256" s="841"/>
      <c r="G1256" s="841"/>
      <c r="H1256" s="840">
        <f t="shared" si="38"/>
        <v>0</v>
      </c>
      <c r="I1256" s="840">
        <f t="shared" si="39"/>
        <v>0</v>
      </c>
    </row>
    <row r="1257" spans="1:9" s="302" customFormat="1" ht="18" hidden="1" customHeight="1">
      <c r="A1257" s="1071"/>
      <c r="B1257" s="475"/>
      <c r="C1257" s="905"/>
      <c r="D1257" s="916"/>
      <c r="E1257" s="916"/>
      <c r="F1257" s="841"/>
      <c r="G1257" s="841"/>
      <c r="H1257" s="840">
        <f t="shared" si="38"/>
        <v>0</v>
      </c>
      <c r="I1257" s="840">
        <f t="shared" si="39"/>
        <v>0</v>
      </c>
    </row>
    <row r="1258" spans="1:9" s="302" customFormat="1" ht="18" hidden="1" customHeight="1">
      <c r="A1258" s="1071"/>
      <c r="B1258" s="475"/>
      <c r="C1258" s="905"/>
      <c r="D1258" s="916"/>
      <c r="E1258" s="916"/>
      <c r="F1258" s="841"/>
      <c r="G1258" s="841"/>
      <c r="H1258" s="840">
        <f t="shared" si="38"/>
        <v>0</v>
      </c>
      <c r="I1258" s="840">
        <f t="shared" si="39"/>
        <v>0</v>
      </c>
    </row>
    <row r="1259" spans="1:9" s="302" customFormat="1" ht="18" hidden="1" customHeight="1">
      <c r="A1259" s="1071"/>
      <c r="B1259" s="475"/>
      <c r="C1259" s="905"/>
      <c r="D1259" s="916"/>
      <c r="E1259" s="916"/>
      <c r="F1259" s="841"/>
      <c r="G1259" s="841"/>
      <c r="H1259" s="840">
        <f t="shared" si="38"/>
        <v>0</v>
      </c>
      <c r="I1259" s="840">
        <f t="shared" si="39"/>
        <v>0</v>
      </c>
    </row>
    <row r="1260" spans="1:9" s="302" customFormat="1" ht="18" hidden="1" customHeight="1">
      <c r="A1260" s="1071"/>
      <c r="B1260" s="475"/>
      <c r="C1260" s="905"/>
      <c r="D1260" s="916"/>
      <c r="E1260" s="916"/>
      <c r="F1260" s="841"/>
      <c r="G1260" s="841"/>
      <c r="H1260" s="840">
        <f t="shared" si="38"/>
        <v>0</v>
      </c>
      <c r="I1260" s="840">
        <f t="shared" si="39"/>
        <v>0</v>
      </c>
    </row>
    <row r="1261" spans="1:9" s="302" customFormat="1" ht="18" hidden="1" customHeight="1">
      <c r="A1261" s="1071"/>
      <c r="B1261" s="475"/>
      <c r="C1261" s="905"/>
      <c r="D1261" s="916"/>
      <c r="E1261" s="916"/>
      <c r="F1261" s="841"/>
      <c r="G1261" s="841"/>
      <c r="H1261" s="840">
        <f t="shared" si="38"/>
        <v>0</v>
      </c>
      <c r="I1261" s="840">
        <f t="shared" si="39"/>
        <v>0</v>
      </c>
    </row>
    <row r="1262" spans="1:9" s="302" customFormat="1" ht="18" hidden="1" customHeight="1">
      <c r="A1262" s="1071"/>
      <c r="B1262" s="475"/>
      <c r="C1262" s="905"/>
      <c r="D1262" s="916"/>
      <c r="E1262" s="916"/>
      <c r="F1262" s="841"/>
      <c r="G1262" s="841"/>
      <c r="H1262" s="840">
        <f t="shared" si="38"/>
        <v>0</v>
      </c>
      <c r="I1262" s="840">
        <f t="shared" si="39"/>
        <v>0</v>
      </c>
    </row>
    <row r="1263" spans="1:9" s="302" customFormat="1" ht="18" hidden="1" customHeight="1">
      <c r="A1263" s="1071"/>
      <c r="B1263" s="864"/>
      <c r="C1263" s="918"/>
      <c r="D1263" s="917"/>
      <c r="E1263" s="917"/>
      <c r="F1263" s="841"/>
      <c r="G1263" s="841"/>
      <c r="H1263" s="840">
        <f t="shared" si="38"/>
        <v>0</v>
      </c>
      <c r="I1263" s="840">
        <f t="shared" si="39"/>
        <v>0</v>
      </c>
    </row>
    <row r="1264" spans="1:9">
      <c r="A1264" s="1081"/>
      <c r="B1264" s="461" t="s">
        <v>253</v>
      </c>
      <c r="C1264" s="919">
        <f>SUM(C1166:C1263)</f>
        <v>1631283</v>
      </c>
      <c r="D1264" s="919">
        <f>SUM(D1166:D1263)</f>
        <v>1515283</v>
      </c>
      <c r="E1264" s="919">
        <f>SUM(E1166:E1263)</f>
        <v>116000</v>
      </c>
      <c r="F1264" s="850">
        <f>SUM(F1166:F1181)</f>
        <v>0</v>
      </c>
      <c r="G1264" s="851">
        <f>SUM(G1166:G1181)</f>
        <v>0</v>
      </c>
      <c r="H1264" s="840">
        <f t="shared" si="38"/>
        <v>0</v>
      </c>
      <c r="I1264" s="840">
        <f t="shared" si="39"/>
        <v>3262566</v>
      </c>
    </row>
    <row r="1265" spans="1:9" ht="75">
      <c r="A1265" s="1081" t="s">
        <v>316</v>
      </c>
      <c r="B1265" s="887" t="s">
        <v>952</v>
      </c>
      <c r="C1265" s="907">
        <v>19200</v>
      </c>
      <c r="D1265" s="530">
        <v>19200</v>
      </c>
      <c r="E1265" s="907"/>
      <c r="F1265" s="854"/>
      <c r="G1265" s="854"/>
      <c r="H1265" s="840">
        <f t="shared" si="38"/>
        <v>0</v>
      </c>
      <c r="I1265" s="840">
        <f t="shared" si="39"/>
        <v>38400</v>
      </c>
    </row>
    <row r="1266" spans="1:9" ht="112.5" hidden="1">
      <c r="A1266" s="1081"/>
      <c r="B1266" s="475" t="s">
        <v>953</v>
      </c>
      <c r="C1266" s="916">
        <f>60000-60000</f>
        <v>0</v>
      </c>
      <c r="D1266" s="916"/>
      <c r="E1266" s="905">
        <f>60000-60000</f>
        <v>0</v>
      </c>
      <c r="F1266" s="854"/>
      <c r="G1266" s="854"/>
      <c r="H1266" s="840">
        <f t="shared" si="38"/>
        <v>0</v>
      </c>
      <c r="I1266" s="840">
        <f t="shared" si="39"/>
        <v>0</v>
      </c>
    </row>
    <row r="1267" spans="1:9" ht="56.25">
      <c r="A1267" s="1081"/>
      <c r="B1267" s="475" t="s">
        <v>1289</v>
      </c>
      <c r="C1267" s="530">
        <v>15000</v>
      </c>
      <c r="D1267" s="530">
        <v>15000</v>
      </c>
      <c r="E1267" s="905"/>
      <c r="F1267" s="841"/>
      <c r="G1267" s="841"/>
      <c r="H1267" s="840">
        <f t="shared" si="38"/>
        <v>0</v>
      </c>
      <c r="I1267" s="840">
        <f t="shared" si="39"/>
        <v>30000</v>
      </c>
    </row>
    <row r="1268" spans="1:9" ht="37.5">
      <c r="A1268" s="1081"/>
      <c r="B1268" s="475" t="s">
        <v>1290</v>
      </c>
      <c r="C1268" s="530">
        <v>9500</v>
      </c>
      <c r="D1268" s="530"/>
      <c r="E1268" s="905">
        <v>9500</v>
      </c>
      <c r="F1268" s="841"/>
      <c r="G1268" s="841"/>
      <c r="H1268" s="840">
        <f t="shared" si="38"/>
        <v>0</v>
      </c>
      <c r="I1268" s="840">
        <f t="shared" si="39"/>
        <v>19000</v>
      </c>
    </row>
    <row r="1269" spans="1:9" ht="56.25">
      <c r="A1269" s="1081"/>
      <c r="B1269" s="475" t="s">
        <v>1291</v>
      </c>
      <c r="C1269" s="530">
        <v>5000</v>
      </c>
      <c r="D1269" s="530">
        <v>5000</v>
      </c>
      <c r="E1269" s="905"/>
      <c r="F1269" s="841"/>
      <c r="G1269" s="841"/>
      <c r="H1269" s="840">
        <f t="shared" si="38"/>
        <v>0</v>
      </c>
      <c r="I1269" s="840">
        <f t="shared" si="39"/>
        <v>10000</v>
      </c>
    </row>
    <row r="1270" spans="1:9" ht="37.5">
      <c r="A1270" s="1081"/>
      <c r="B1270" s="475" t="s">
        <v>1292</v>
      </c>
      <c r="C1270" s="530">
        <v>12500</v>
      </c>
      <c r="D1270" s="530">
        <v>12500</v>
      </c>
      <c r="E1270" s="905"/>
      <c r="F1270" s="841"/>
      <c r="G1270" s="841"/>
      <c r="H1270" s="840">
        <f t="shared" si="38"/>
        <v>0</v>
      </c>
      <c r="I1270" s="840">
        <f t="shared" si="39"/>
        <v>25000</v>
      </c>
    </row>
    <row r="1271" spans="1:9" ht="93.75">
      <c r="A1271" s="1081"/>
      <c r="B1271" s="475" t="s">
        <v>1293</v>
      </c>
      <c r="C1271" s="530">
        <v>66278</v>
      </c>
      <c r="D1271" s="530">
        <v>66278</v>
      </c>
      <c r="E1271" s="905"/>
      <c r="F1271" s="841"/>
      <c r="G1271" s="841"/>
      <c r="H1271" s="840">
        <f t="shared" si="38"/>
        <v>0</v>
      </c>
      <c r="I1271" s="840">
        <f t="shared" si="39"/>
        <v>132556</v>
      </c>
    </row>
    <row r="1272" spans="1:9" ht="37.5">
      <c r="A1272" s="1081"/>
      <c r="B1272" s="475" t="s">
        <v>1294</v>
      </c>
      <c r="C1272" s="530">
        <v>6000</v>
      </c>
      <c r="D1272" s="530">
        <v>6000</v>
      </c>
      <c r="E1272" s="905"/>
      <c r="F1272" s="841"/>
      <c r="G1272" s="841"/>
      <c r="H1272" s="840">
        <f t="shared" si="38"/>
        <v>0</v>
      </c>
      <c r="I1272" s="840">
        <f t="shared" si="39"/>
        <v>12000</v>
      </c>
    </row>
    <row r="1273" spans="1:9" ht="37.5">
      <c r="A1273" s="1081"/>
      <c r="B1273" s="475" t="s">
        <v>1295</v>
      </c>
      <c r="C1273" s="530">
        <v>20000</v>
      </c>
      <c r="D1273" s="530"/>
      <c r="E1273" s="530">
        <v>20000</v>
      </c>
      <c r="F1273" s="841"/>
      <c r="G1273" s="841"/>
      <c r="H1273" s="840">
        <f t="shared" si="38"/>
        <v>0</v>
      </c>
      <c r="I1273" s="840">
        <f t="shared" si="39"/>
        <v>40000</v>
      </c>
    </row>
    <row r="1274" spans="1:9" ht="93.75">
      <c r="A1274" s="1081"/>
      <c r="B1274" s="475" t="s">
        <v>1296</v>
      </c>
      <c r="C1274" s="530">
        <v>35000</v>
      </c>
      <c r="D1274" s="530"/>
      <c r="E1274" s="530">
        <v>35000</v>
      </c>
      <c r="F1274" s="841"/>
      <c r="G1274" s="841"/>
      <c r="H1274" s="840">
        <f t="shared" si="38"/>
        <v>0</v>
      </c>
      <c r="I1274" s="840">
        <f t="shared" si="39"/>
        <v>70000</v>
      </c>
    </row>
    <row r="1275" spans="1:9" ht="37.5">
      <c r="A1275" s="1081"/>
      <c r="B1275" s="475" t="s">
        <v>1897</v>
      </c>
      <c r="C1275" s="911">
        <v>20000</v>
      </c>
      <c r="D1275" s="911"/>
      <c r="E1275" s="911">
        <v>20000</v>
      </c>
      <c r="F1275" s="841"/>
      <c r="G1275" s="841"/>
      <c r="H1275" s="840">
        <f t="shared" si="38"/>
        <v>0</v>
      </c>
      <c r="I1275" s="840">
        <f t="shared" si="39"/>
        <v>40000</v>
      </c>
    </row>
    <row r="1276" spans="1:9" ht="75">
      <c r="A1276" s="1081"/>
      <c r="B1276" s="475" t="s">
        <v>2058</v>
      </c>
      <c r="C1276" s="908">
        <v>48000</v>
      </c>
      <c r="D1276" s="908">
        <v>48000</v>
      </c>
      <c r="E1276" s="905"/>
      <c r="F1276" s="841"/>
      <c r="G1276" s="841"/>
      <c r="H1276" s="840">
        <f t="shared" si="38"/>
        <v>0</v>
      </c>
      <c r="I1276" s="840">
        <f t="shared" si="39"/>
        <v>96000</v>
      </c>
    </row>
    <row r="1277" spans="1:9" ht="75">
      <c r="A1277" s="1081"/>
      <c r="B1277" s="475" t="s">
        <v>3197</v>
      </c>
      <c r="C1277" s="908">
        <v>7000</v>
      </c>
      <c r="D1277" s="908">
        <v>7000</v>
      </c>
      <c r="E1277" s="905"/>
      <c r="F1277" s="841"/>
      <c r="G1277" s="841"/>
      <c r="H1277" s="840">
        <f t="shared" si="38"/>
        <v>0</v>
      </c>
      <c r="I1277" s="840">
        <f t="shared" si="39"/>
        <v>14000</v>
      </c>
    </row>
    <row r="1278" spans="1:9" ht="56.25">
      <c r="A1278" s="1081"/>
      <c r="B1278" s="475" t="s">
        <v>2059</v>
      </c>
      <c r="C1278" s="908">
        <v>10000</v>
      </c>
      <c r="D1278" s="908"/>
      <c r="E1278" s="905">
        <v>10000</v>
      </c>
      <c r="F1278" s="841"/>
      <c r="G1278" s="841"/>
      <c r="H1278" s="840">
        <f t="shared" si="38"/>
        <v>0</v>
      </c>
      <c r="I1278" s="840">
        <f t="shared" si="39"/>
        <v>20000</v>
      </c>
    </row>
    <row r="1279" spans="1:9" ht="56.25">
      <c r="A1279" s="1081"/>
      <c r="B1279" s="475" t="s">
        <v>2060</v>
      </c>
      <c r="C1279" s="908">
        <v>10000</v>
      </c>
      <c r="D1279" s="908">
        <v>10000</v>
      </c>
      <c r="E1279" s="905"/>
      <c r="F1279" s="841"/>
      <c r="G1279" s="841"/>
      <c r="H1279" s="840">
        <f t="shared" si="38"/>
        <v>0</v>
      </c>
      <c r="I1279" s="840">
        <f t="shared" si="39"/>
        <v>20000</v>
      </c>
    </row>
    <row r="1280" spans="1:9" ht="56.25">
      <c r="A1280" s="1081"/>
      <c r="B1280" s="475" t="s">
        <v>2061</v>
      </c>
      <c r="C1280" s="908">
        <v>10000</v>
      </c>
      <c r="D1280" s="908">
        <v>10000</v>
      </c>
      <c r="E1280" s="905"/>
      <c r="F1280" s="841"/>
      <c r="G1280" s="841"/>
      <c r="H1280" s="840">
        <f t="shared" si="38"/>
        <v>0</v>
      </c>
      <c r="I1280" s="840">
        <f t="shared" si="39"/>
        <v>20000</v>
      </c>
    </row>
    <row r="1281" spans="1:9" ht="56.25">
      <c r="A1281" s="1081"/>
      <c r="B1281" s="475" t="s">
        <v>2768</v>
      </c>
      <c r="C1281" s="905">
        <v>30000</v>
      </c>
      <c r="D1281" s="905">
        <v>30000</v>
      </c>
      <c r="E1281" s="905"/>
      <c r="F1281" s="841"/>
      <c r="G1281" s="841"/>
      <c r="H1281" s="840">
        <f t="shared" si="38"/>
        <v>0</v>
      </c>
      <c r="I1281" s="840">
        <f t="shared" si="39"/>
        <v>60000</v>
      </c>
    </row>
    <row r="1282" spans="1:9" ht="56.25">
      <c r="A1282" s="1081"/>
      <c r="B1282" s="475" t="s">
        <v>2769</v>
      </c>
      <c r="C1282" s="905">
        <v>10000</v>
      </c>
      <c r="D1282" s="905"/>
      <c r="E1282" s="905">
        <v>10000</v>
      </c>
      <c r="F1282" s="841"/>
      <c r="G1282" s="841"/>
      <c r="H1282" s="840">
        <f t="shared" si="38"/>
        <v>0</v>
      </c>
      <c r="I1282" s="840">
        <f t="shared" si="39"/>
        <v>20000</v>
      </c>
    </row>
    <row r="1283" spans="1:9" ht="37.5">
      <c r="A1283" s="1081"/>
      <c r="B1283" s="475" t="s">
        <v>2770</v>
      </c>
      <c r="C1283" s="905">
        <v>20000</v>
      </c>
      <c r="D1283" s="905">
        <v>20000</v>
      </c>
      <c r="E1283" s="905"/>
      <c r="F1283" s="841"/>
      <c r="G1283" s="841"/>
      <c r="H1283" s="840">
        <f t="shared" si="38"/>
        <v>0</v>
      </c>
      <c r="I1283" s="840">
        <f t="shared" si="39"/>
        <v>40000</v>
      </c>
    </row>
    <row r="1284" spans="1:9" s="302" customFormat="1" ht="56.25">
      <c r="A1284" s="1068"/>
      <c r="B1284" s="475" t="s">
        <v>2771</v>
      </c>
      <c r="C1284" s="905">
        <v>10000</v>
      </c>
      <c r="D1284" s="974">
        <v>10000</v>
      </c>
      <c r="E1284" s="905"/>
      <c r="F1284" s="841"/>
      <c r="G1284" s="841"/>
      <c r="H1284" s="840">
        <f t="shared" si="38"/>
        <v>0</v>
      </c>
      <c r="I1284" s="840">
        <f t="shared" si="39"/>
        <v>20000</v>
      </c>
    </row>
    <row r="1285" spans="1:9" s="302" customFormat="1" hidden="1">
      <c r="A1285" s="1068"/>
      <c r="B1285" s="475"/>
      <c r="C1285" s="916"/>
      <c r="D1285" s="916"/>
      <c r="E1285" s="905"/>
      <c r="F1285" s="841"/>
      <c r="G1285" s="841"/>
      <c r="H1285" s="840">
        <f t="shared" si="38"/>
        <v>0</v>
      </c>
      <c r="I1285" s="840">
        <f t="shared" si="39"/>
        <v>0</v>
      </c>
    </row>
    <row r="1286" spans="1:9" s="302" customFormat="1" hidden="1">
      <c r="A1286" s="1068"/>
      <c r="B1286" s="475"/>
      <c r="C1286" s="916"/>
      <c r="D1286" s="916"/>
      <c r="E1286" s="905"/>
      <c r="F1286" s="841"/>
      <c r="G1286" s="841"/>
      <c r="H1286" s="840">
        <f t="shared" si="38"/>
        <v>0</v>
      </c>
      <c r="I1286" s="840">
        <f t="shared" si="39"/>
        <v>0</v>
      </c>
    </row>
    <row r="1287" spans="1:9" s="302" customFormat="1" hidden="1">
      <c r="A1287" s="1068"/>
      <c r="B1287" s="475"/>
      <c r="C1287" s="916"/>
      <c r="D1287" s="916"/>
      <c r="E1287" s="905"/>
      <c r="F1287" s="841"/>
      <c r="G1287" s="841"/>
      <c r="H1287" s="840">
        <f t="shared" si="38"/>
        <v>0</v>
      </c>
      <c r="I1287" s="840">
        <f t="shared" si="39"/>
        <v>0</v>
      </c>
    </row>
    <row r="1288" spans="1:9" s="302" customFormat="1" hidden="1">
      <c r="A1288" s="1068"/>
      <c r="B1288" s="475"/>
      <c r="C1288" s="916"/>
      <c r="D1288" s="916"/>
      <c r="E1288" s="905"/>
      <c r="F1288" s="841"/>
      <c r="G1288" s="841"/>
      <c r="H1288" s="840">
        <f t="shared" si="38"/>
        <v>0</v>
      </c>
      <c r="I1288" s="840">
        <f t="shared" si="39"/>
        <v>0</v>
      </c>
    </row>
    <row r="1289" spans="1:9" s="302" customFormat="1" hidden="1">
      <c r="A1289" s="1068"/>
      <c r="B1289" s="475"/>
      <c r="C1289" s="916"/>
      <c r="D1289" s="916"/>
      <c r="E1289" s="905"/>
      <c r="F1289" s="841"/>
      <c r="G1289" s="841"/>
      <c r="H1289" s="840">
        <f t="shared" ref="H1289:H1352" si="40">E1289+D1289-C1289</f>
        <v>0</v>
      </c>
      <c r="I1289" s="840">
        <f t="shared" ref="I1289:I1352" si="41">SUM(C1289:E1289)</f>
        <v>0</v>
      </c>
    </row>
    <row r="1290" spans="1:9" s="302" customFormat="1" hidden="1">
      <c r="A1290" s="1068"/>
      <c r="B1290" s="475"/>
      <c r="C1290" s="916"/>
      <c r="D1290" s="916"/>
      <c r="E1290" s="905"/>
      <c r="F1290" s="841"/>
      <c r="G1290" s="841"/>
      <c r="H1290" s="840">
        <f t="shared" si="40"/>
        <v>0</v>
      </c>
      <c r="I1290" s="840">
        <f t="shared" si="41"/>
        <v>0</v>
      </c>
    </row>
    <row r="1291" spans="1:9" s="302" customFormat="1" hidden="1">
      <c r="A1291" s="1068"/>
      <c r="B1291" s="475"/>
      <c r="C1291" s="916"/>
      <c r="D1291" s="916"/>
      <c r="E1291" s="905"/>
      <c r="F1291" s="841"/>
      <c r="G1291" s="841"/>
      <c r="H1291" s="840">
        <f t="shared" si="40"/>
        <v>0</v>
      </c>
      <c r="I1291" s="840">
        <f t="shared" si="41"/>
        <v>0</v>
      </c>
    </row>
    <row r="1292" spans="1:9" s="302" customFormat="1" hidden="1">
      <c r="A1292" s="1068"/>
      <c r="B1292" s="475"/>
      <c r="C1292" s="916"/>
      <c r="D1292" s="916"/>
      <c r="E1292" s="905"/>
      <c r="F1292" s="841"/>
      <c r="G1292" s="841"/>
      <c r="H1292" s="840">
        <f t="shared" si="40"/>
        <v>0</v>
      </c>
      <c r="I1292" s="840">
        <f t="shared" si="41"/>
        <v>0</v>
      </c>
    </row>
    <row r="1293" spans="1:9" s="302" customFormat="1" hidden="1">
      <c r="A1293" s="1068"/>
      <c r="B1293" s="475"/>
      <c r="C1293" s="916"/>
      <c r="D1293" s="916"/>
      <c r="E1293" s="905"/>
      <c r="F1293" s="841"/>
      <c r="G1293" s="841"/>
      <c r="H1293" s="840">
        <f t="shared" si="40"/>
        <v>0</v>
      </c>
      <c r="I1293" s="840">
        <f t="shared" si="41"/>
        <v>0</v>
      </c>
    </row>
    <row r="1294" spans="1:9" s="302" customFormat="1" hidden="1">
      <c r="A1294" s="1068"/>
      <c r="B1294" s="475"/>
      <c r="C1294" s="916"/>
      <c r="D1294" s="916"/>
      <c r="E1294" s="905"/>
      <c r="F1294" s="841"/>
      <c r="G1294" s="841"/>
      <c r="H1294" s="840">
        <f t="shared" si="40"/>
        <v>0</v>
      </c>
      <c r="I1294" s="840">
        <f t="shared" si="41"/>
        <v>0</v>
      </c>
    </row>
    <row r="1295" spans="1:9" s="302" customFormat="1" hidden="1">
      <c r="A1295" s="1068"/>
      <c r="B1295" s="475"/>
      <c r="C1295" s="916"/>
      <c r="D1295" s="916"/>
      <c r="E1295" s="905"/>
      <c r="F1295" s="841"/>
      <c r="G1295" s="841"/>
      <c r="H1295" s="840">
        <f t="shared" si="40"/>
        <v>0</v>
      </c>
      <c r="I1295" s="840">
        <f t="shared" si="41"/>
        <v>0</v>
      </c>
    </row>
    <row r="1296" spans="1:9" s="302" customFormat="1" hidden="1">
      <c r="A1296" s="1068"/>
      <c r="B1296" s="475"/>
      <c r="C1296" s="916"/>
      <c r="D1296" s="916"/>
      <c r="E1296" s="905"/>
      <c r="F1296" s="841"/>
      <c r="G1296" s="841"/>
      <c r="H1296" s="840">
        <f t="shared" si="40"/>
        <v>0</v>
      </c>
      <c r="I1296" s="840">
        <f t="shared" si="41"/>
        <v>0</v>
      </c>
    </row>
    <row r="1297" spans="1:9" s="302" customFormat="1" hidden="1">
      <c r="A1297" s="1068"/>
      <c r="B1297" s="475"/>
      <c r="C1297" s="916"/>
      <c r="D1297" s="916"/>
      <c r="E1297" s="905"/>
      <c r="F1297" s="841"/>
      <c r="G1297" s="841"/>
      <c r="H1297" s="840">
        <f t="shared" si="40"/>
        <v>0</v>
      </c>
      <c r="I1297" s="840">
        <f t="shared" si="41"/>
        <v>0</v>
      </c>
    </row>
    <row r="1298" spans="1:9" s="302" customFormat="1" hidden="1">
      <c r="A1298" s="1068"/>
      <c r="B1298" s="475"/>
      <c r="C1298" s="916"/>
      <c r="D1298" s="916"/>
      <c r="E1298" s="905"/>
      <c r="F1298" s="841"/>
      <c r="G1298" s="841"/>
      <c r="H1298" s="840">
        <f t="shared" si="40"/>
        <v>0</v>
      </c>
      <c r="I1298" s="840">
        <f t="shared" si="41"/>
        <v>0</v>
      </c>
    </row>
    <row r="1299" spans="1:9" s="302" customFormat="1" hidden="1">
      <c r="A1299" s="1068"/>
      <c r="B1299" s="475"/>
      <c r="C1299" s="916"/>
      <c r="D1299" s="916"/>
      <c r="E1299" s="905"/>
      <c r="F1299" s="841"/>
      <c r="G1299" s="841"/>
      <c r="H1299" s="840">
        <f t="shared" si="40"/>
        <v>0</v>
      </c>
      <c r="I1299" s="840">
        <f t="shared" si="41"/>
        <v>0</v>
      </c>
    </row>
    <row r="1300" spans="1:9" s="302" customFormat="1" hidden="1">
      <c r="A1300" s="1068"/>
      <c r="B1300" s="475"/>
      <c r="C1300" s="916"/>
      <c r="D1300" s="916"/>
      <c r="E1300" s="905"/>
      <c r="F1300" s="841"/>
      <c r="G1300" s="841"/>
      <c r="H1300" s="840">
        <f t="shared" si="40"/>
        <v>0</v>
      </c>
      <c r="I1300" s="840">
        <f t="shared" si="41"/>
        <v>0</v>
      </c>
    </row>
    <row r="1301" spans="1:9" s="302" customFormat="1" hidden="1">
      <c r="A1301" s="1068"/>
      <c r="B1301" s="475"/>
      <c r="C1301" s="916"/>
      <c r="D1301" s="916"/>
      <c r="E1301" s="905"/>
      <c r="F1301" s="841"/>
      <c r="G1301" s="841"/>
      <c r="H1301" s="840">
        <f t="shared" si="40"/>
        <v>0</v>
      </c>
      <c r="I1301" s="840">
        <f t="shared" si="41"/>
        <v>0</v>
      </c>
    </row>
    <row r="1302" spans="1:9" s="302" customFormat="1" hidden="1">
      <c r="A1302" s="1068"/>
      <c r="B1302" s="475"/>
      <c r="C1302" s="916"/>
      <c r="D1302" s="916"/>
      <c r="E1302" s="905"/>
      <c r="F1302" s="841"/>
      <c r="G1302" s="841"/>
      <c r="H1302" s="840">
        <f t="shared" si="40"/>
        <v>0</v>
      </c>
      <c r="I1302" s="840">
        <f t="shared" si="41"/>
        <v>0</v>
      </c>
    </row>
    <row r="1303" spans="1:9" s="302" customFormat="1" hidden="1">
      <c r="A1303" s="1068"/>
      <c r="B1303" s="475"/>
      <c r="C1303" s="916"/>
      <c r="D1303" s="916"/>
      <c r="E1303" s="905"/>
      <c r="F1303" s="841"/>
      <c r="G1303" s="841"/>
      <c r="H1303" s="840">
        <f t="shared" si="40"/>
        <v>0</v>
      </c>
      <c r="I1303" s="840">
        <f t="shared" si="41"/>
        <v>0</v>
      </c>
    </row>
    <row r="1304" spans="1:9" s="302" customFormat="1" hidden="1">
      <c r="A1304" s="1068"/>
      <c r="B1304" s="475"/>
      <c r="C1304" s="905"/>
      <c r="D1304" s="916"/>
      <c r="E1304" s="905"/>
      <c r="F1304" s="841"/>
      <c r="G1304" s="841"/>
      <c r="H1304" s="840">
        <f t="shared" si="40"/>
        <v>0</v>
      </c>
      <c r="I1304" s="840">
        <f t="shared" si="41"/>
        <v>0</v>
      </c>
    </row>
    <row r="1305" spans="1:9" s="302" customFormat="1" hidden="1">
      <c r="A1305" s="1068"/>
      <c r="B1305" s="475"/>
      <c r="C1305" s="916"/>
      <c r="D1305" s="916"/>
      <c r="E1305" s="905"/>
      <c r="F1305" s="841"/>
      <c r="G1305" s="841"/>
      <c r="H1305" s="840">
        <f t="shared" si="40"/>
        <v>0</v>
      </c>
      <c r="I1305" s="840">
        <f t="shared" si="41"/>
        <v>0</v>
      </c>
    </row>
    <row r="1306" spans="1:9" s="302" customFormat="1" hidden="1">
      <c r="A1306" s="1068"/>
      <c r="B1306" s="475"/>
      <c r="C1306" s="916"/>
      <c r="D1306" s="916"/>
      <c r="E1306" s="905"/>
      <c r="F1306" s="841"/>
      <c r="G1306" s="841"/>
      <c r="H1306" s="840">
        <f t="shared" si="40"/>
        <v>0</v>
      </c>
      <c r="I1306" s="840">
        <f t="shared" si="41"/>
        <v>0</v>
      </c>
    </row>
    <row r="1307" spans="1:9" s="302" customFormat="1" hidden="1">
      <c r="A1307" s="1068"/>
      <c r="B1307" s="475"/>
      <c r="C1307" s="916"/>
      <c r="D1307" s="916"/>
      <c r="E1307" s="905"/>
      <c r="F1307" s="841"/>
      <c r="G1307" s="841"/>
      <c r="H1307" s="840">
        <f t="shared" si="40"/>
        <v>0</v>
      </c>
      <c r="I1307" s="840">
        <f t="shared" si="41"/>
        <v>0</v>
      </c>
    </row>
    <row r="1308" spans="1:9" s="302" customFormat="1" hidden="1">
      <c r="A1308" s="1068"/>
      <c r="B1308" s="475"/>
      <c r="C1308" s="916"/>
      <c r="D1308" s="916"/>
      <c r="E1308" s="905"/>
      <c r="F1308" s="841"/>
      <c r="G1308" s="841"/>
      <c r="H1308" s="840">
        <f t="shared" si="40"/>
        <v>0</v>
      </c>
      <c r="I1308" s="840">
        <f t="shared" si="41"/>
        <v>0</v>
      </c>
    </row>
    <row r="1309" spans="1:9" s="302" customFormat="1" hidden="1">
      <c r="A1309" s="1068"/>
      <c r="B1309" s="475"/>
      <c r="C1309" s="916"/>
      <c r="D1309" s="916"/>
      <c r="E1309" s="905"/>
      <c r="F1309" s="841"/>
      <c r="G1309" s="841"/>
      <c r="H1309" s="840">
        <f t="shared" si="40"/>
        <v>0</v>
      </c>
      <c r="I1309" s="840">
        <f t="shared" si="41"/>
        <v>0</v>
      </c>
    </row>
    <row r="1310" spans="1:9" s="302" customFormat="1" hidden="1">
      <c r="A1310" s="1068"/>
      <c r="B1310" s="475"/>
      <c r="C1310" s="916"/>
      <c r="D1310" s="916"/>
      <c r="E1310" s="905"/>
      <c r="F1310" s="841"/>
      <c r="G1310" s="841"/>
      <c r="H1310" s="840">
        <f t="shared" si="40"/>
        <v>0</v>
      </c>
      <c r="I1310" s="840">
        <f t="shared" si="41"/>
        <v>0</v>
      </c>
    </row>
    <row r="1311" spans="1:9" s="302" customFormat="1" hidden="1">
      <c r="A1311" s="1068"/>
      <c r="B1311" s="475"/>
      <c r="C1311" s="916"/>
      <c r="D1311" s="916"/>
      <c r="E1311" s="905"/>
      <c r="F1311" s="841"/>
      <c r="G1311" s="841"/>
      <c r="H1311" s="840">
        <f t="shared" si="40"/>
        <v>0</v>
      </c>
      <c r="I1311" s="840">
        <f t="shared" si="41"/>
        <v>0</v>
      </c>
    </row>
    <row r="1312" spans="1:9" s="302" customFormat="1" hidden="1">
      <c r="A1312" s="1068"/>
      <c r="B1312" s="475"/>
      <c r="C1312" s="916"/>
      <c r="D1312" s="916"/>
      <c r="E1312" s="905"/>
      <c r="F1312" s="841"/>
      <c r="G1312" s="841"/>
      <c r="H1312" s="840">
        <f t="shared" si="40"/>
        <v>0</v>
      </c>
      <c r="I1312" s="840">
        <f t="shared" si="41"/>
        <v>0</v>
      </c>
    </row>
    <row r="1313" spans="1:9" s="302" customFormat="1" hidden="1">
      <c r="A1313" s="1068"/>
      <c r="B1313" s="475"/>
      <c r="C1313" s="916"/>
      <c r="D1313" s="916"/>
      <c r="E1313" s="905"/>
      <c r="F1313" s="841"/>
      <c r="G1313" s="841"/>
      <c r="H1313" s="840">
        <f t="shared" si="40"/>
        <v>0</v>
      </c>
      <c r="I1313" s="840">
        <f t="shared" si="41"/>
        <v>0</v>
      </c>
    </row>
    <row r="1314" spans="1:9" s="302" customFormat="1" hidden="1">
      <c r="A1314" s="1068"/>
      <c r="B1314" s="475"/>
      <c r="C1314" s="916"/>
      <c r="D1314" s="916"/>
      <c r="E1314" s="905"/>
      <c r="F1314" s="841"/>
      <c r="G1314" s="841"/>
      <c r="H1314" s="840">
        <f t="shared" si="40"/>
        <v>0</v>
      </c>
      <c r="I1314" s="840">
        <f t="shared" si="41"/>
        <v>0</v>
      </c>
    </row>
    <row r="1315" spans="1:9" s="302" customFormat="1" hidden="1">
      <c r="A1315" s="1068"/>
      <c r="B1315" s="475"/>
      <c r="C1315" s="916"/>
      <c r="D1315" s="916"/>
      <c r="E1315" s="905"/>
      <c r="F1315" s="841"/>
      <c r="G1315" s="841"/>
      <c r="H1315" s="840">
        <f t="shared" si="40"/>
        <v>0</v>
      </c>
      <c r="I1315" s="840">
        <f t="shared" si="41"/>
        <v>0</v>
      </c>
    </row>
    <row r="1316" spans="1:9" s="302" customFormat="1" hidden="1">
      <c r="A1316" s="1068"/>
      <c r="B1316" s="475"/>
      <c r="C1316" s="916"/>
      <c r="D1316" s="916"/>
      <c r="E1316" s="905"/>
      <c r="F1316" s="841"/>
      <c r="G1316" s="841"/>
      <c r="H1316" s="840">
        <f t="shared" si="40"/>
        <v>0</v>
      </c>
      <c r="I1316" s="840">
        <f t="shared" si="41"/>
        <v>0</v>
      </c>
    </row>
    <row r="1317" spans="1:9" s="302" customFormat="1" hidden="1">
      <c r="A1317" s="1068"/>
      <c r="B1317" s="475"/>
      <c r="C1317" s="916"/>
      <c r="D1317" s="916"/>
      <c r="E1317" s="905"/>
      <c r="F1317" s="841"/>
      <c r="G1317" s="841"/>
      <c r="H1317" s="840">
        <f t="shared" si="40"/>
        <v>0</v>
      </c>
      <c r="I1317" s="840">
        <f t="shared" si="41"/>
        <v>0</v>
      </c>
    </row>
    <row r="1318" spans="1:9" s="302" customFormat="1" hidden="1">
      <c r="A1318" s="1071"/>
      <c r="B1318" s="475"/>
      <c r="C1318" s="916"/>
      <c r="D1318" s="916"/>
      <c r="E1318" s="905"/>
      <c r="F1318" s="841"/>
      <c r="G1318" s="841"/>
      <c r="H1318" s="840">
        <f t="shared" si="40"/>
        <v>0</v>
      </c>
      <c r="I1318" s="840">
        <f t="shared" si="41"/>
        <v>0</v>
      </c>
    </row>
    <row r="1319" spans="1:9" s="302" customFormat="1" hidden="1">
      <c r="A1319" s="1071"/>
      <c r="B1319" s="475"/>
      <c r="C1319" s="916"/>
      <c r="D1319" s="916"/>
      <c r="E1319" s="905"/>
      <c r="F1319" s="841"/>
      <c r="G1319" s="841"/>
      <c r="H1319" s="840">
        <f t="shared" si="40"/>
        <v>0</v>
      </c>
      <c r="I1319" s="840">
        <f t="shared" si="41"/>
        <v>0</v>
      </c>
    </row>
    <row r="1320" spans="1:9" s="302" customFormat="1" hidden="1">
      <c r="A1320" s="1071"/>
      <c r="B1320" s="475"/>
      <c r="C1320" s="916"/>
      <c r="D1320" s="916"/>
      <c r="E1320" s="905"/>
      <c r="F1320" s="841"/>
      <c r="G1320" s="841"/>
      <c r="H1320" s="840">
        <f t="shared" si="40"/>
        <v>0</v>
      </c>
      <c r="I1320" s="840">
        <f t="shared" si="41"/>
        <v>0</v>
      </c>
    </row>
    <row r="1321" spans="1:9" s="302" customFormat="1" hidden="1">
      <c r="A1321" s="1071"/>
      <c r="B1321" s="475"/>
      <c r="C1321" s="916"/>
      <c r="D1321" s="916"/>
      <c r="E1321" s="905"/>
      <c r="F1321" s="841"/>
      <c r="G1321" s="841"/>
      <c r="H1321" s="840">
        <f t="shared" si="40"/>
        <v>0</v>
      </c>
      <c r="I1321" s="840">
        <f t="shared" si="41"/>
        <v>0</v>
      </c>
    </row>
    <row r="1322" spans="1:9" s="302" customFormat="1" hidden="1">
      <c r="A1322" s="1071"/>
      <c r="B1322" s="475"/>
      <c r="C1322" s="916"/>
      <c r="D1322" s="916"/>
      <c r="E1322" s="905"/>
      <c r="F1322" s="841"/>
      <c r="G1322" s="841"/>
      <c r="H1322" s="840">
        <f t="shared" si="40"/>
        <v>0</v>
      </c>
      <c r="I1322" s="840">
        <f t="shared" si="41"/>
        <v>0</v>
      </c>
    </row>
    <row r="1323" spans="1:9" s="302" customFormat="1" hidden="1">
      <c r="A1323" s="1071"/>
      <c r="B1323" s="475"/>
      <c r="C1323" s="916"/>
      <c r="D1323" s="916"/>
      <c r="E1323" s="905"/>
      <c r="F1323" s="841"/>
      <c r="G1323" s="841"/>
      <c r="H1323" s="840">
        <f t="shared" si="40"/>
        <v>0</v>
      </c>
      <c r="I1323" s="840">
        <f t="shared" si="41"/>
        <v>0</v>
      </c>
    </row>
    <row r="1324" spans="1:9" s="302" customFormat="1" hidden="1">
      <c r="A1324" s="1071"/>
      <c r="B1324" s="475"/>
      <c r="C1324" s="916"/>
      <c r="D1324" s="916"/>
      <c r="E1324" s="905"/>
      <c r="F1324" s="841"/>
      <c r="G1324" s="841"/>
      <c r="H1324" s="840">
        <f t="shared" si="40"/>
        <v>0</v>
      </c>
      <c r="I1324" s="840">
        <f t="shared" si="41"/>
        <v>0</v>
      </c>
    </row>
    <row r="1325" spans="1:9" s="302" customFormat="1" hidden="1">
      <c r="A1325" s="1071"/>
      <c r="B1325" s="475"/>
      <c r="C1325" s="916"/>
      <c r="D1325" s="916"/>
      <c r="E1325" s="905"/>
      <c r="F1325" s="841"/>
      <c r="G1325" s="841"/>
      <c r="H1325" s="840">
        <f t="shared" si="40"/>
        <v>0</v>
      </c>
      <c r="I1325" s="840">
        <f t="shared" si="41"/>
        <v>0</v>
      </c>
    </row>
    <row r="1326" spans="1:9" s="302" customFormat="1" hidden="1">
      <c r="A1326" s="1071"/>
      <c r="B1326" s="475"/>
      <c r="C1326" s="916"/>
      <c r="D1326" s="916"/>
      <c r="E1326" s="905"/>
      <c r="F1326" s="841"/>
      <c r="G1326" s="841"/>
      <c r="H1326" s="840">
        <f t="shared" si="40"/>
        <v>0</v>
      </c>
      <c r="I1326" s="840">
        <f t="shared" si="41"/>
        <v>0</v>
      </c>
    </row>
    <row r="1327" spans="1:9" s="302" customFormat="1" hidden="1">
      <c r="A1327" s="1071"/>
      <c r="B1327" s="475"/>
      <c r="C1327" s="905"/>
      <c r="D1327" s="905"/>
      <c r="E1327" s="905"/>
      <c r="F1327" s="841"/>
      <c r="G1327" s="841"/>
      <c r="H1327" s="840">
        <f t="shared" si="40"/>
        <v>0</v>
      </c>
      <c r="I1327" s="840">
        <f t="shared" si="41"/>
        <v>0</v>
      </c>
    </row>
    <row r="1328" spans="1:9" s="302" customFormat="1" hidden="1">
      <c r="A1328" s="1071"/>
      <c r="B1328" s="475"/>
      <c r="C1328" s="905"/>
      <c r="D1328" s="905"/>
      <c r="E1328" s="905"/>
      <c r="F1328" s="841"/>
      <c r="G1328" s="841"/>
      <c r="H1328" s="840">
        <f t="shared" si="40"/>
        <v>0</v>
      </c>
      <c r="I1328" s="840">
        <f t="shared" si="41"/>
        <v>0</v>
      </c>
    </row>
    <row r="1329" spans="1:9" s="302" customFormat="1" hidden="1">
      <c r="A1329" s="1071"/>
      <c r="B1329" s="475"/>
      <c r="C1329" s="916"/>
      <c r="D1329" s="916"/>
      <c r="E1329" s="905"/>
      <c r="F1329" s="841"/>
      <c r="G1329" s="841"/>
      <c r="H1329" s="840">
        <f t="shared" si="40"/>
        <v>0</v>
      </c>
      <c r="I1329" s="840">
        <f t="shared" si="41"/>
        <v>0</v>
      </c>
    </row>
    <row r="1330" spans="1:9" s="302" customFormat="1" hidden="1">
      <c r="A1330" s="1071"/>
      <c r="B1330" s="475"/>
      <c r="C1330" s="916"/>
      <c r="D1330" s="916"/>
      <c r="E1330" s="905"/>
      <c r="F1330" s="841"/>
      <c r="G1330" s="841"/>
      <c r="H1330" s="840">
        <f t="shared" si="40"/>
        <v>0</v>
      </c>
      <c r="I1330" s="840">
        <f t="shared" si="41"/>
        <v>0</v>
      </c>
    </row>
    <row r="1331" spans="1:9" s="302" customFormat="1" hidden="1">
      <c r="A1331" s="1071"/>
      <c r="B1331" s="475"/>
      <c r="C1331" s="916"/>
      <c r="D1331" s="916"/>
      <c r="E1331" s="905"/>
      <c r="F1331" s="841"/>
      <c r="G1331" s="841"/>
      <c r="H1331" s="840">
        <f t="shared" si="40"/>
        <v>0</v>
      </c>
      <c r="I1331" s="840">
        <f t="shared" si="41"/>
        <v>0</v>
      </c>
    </row>
    <row r="1332" spans="1:9" s="302" customFormat="1" hidden="1">
      <c r="A1332" s="1071"/>
      <c r="B1332" s="475"/>
      <c r="C1332" s="916"/>
      <c r="D1332" s="916"/>
      <c r="E1332" s="905"/>
      <c r="F1332" s="841"/>
      <c r="G1332" s="841"/>
      <c r="H1332" s="840">
        <f t="shared" si="40"/>
        <v>0</v>
      </c>
      <c r="I1332" s="840">
        <f t="shared" si="41"/>
        <v>0</v>
      </c>
    </row>
    <row r="1333" spans="1:9" s="302" customFormat="1" hidden="1">
      <c r="A1333" s="1071"/>
      <c r="B1333" s="475"/>
      <c r="C1333" s="916"/>
      <c r="D1333" s="916"/>
      <c r="E1333" s="905"/>
      <c r="F1333" s="841"/>
      <c r="G1333" s="841"/>
      <c r="H1333" s="840">
        <f t="shared" si="40"/>
        <v>0</v>
      </c>
      <c r="I1333" s="840">
        <f t="shared" si="41"/>
        <v>0</v>
      </c>
    </row>
    <row r="1334" spans="1:9" s="302" customFormat="1" hidden="1">
      <c r="A1334" s="1071"/>
      <c r="B1334" s="475"/>
      <c r="C1334" s="916"/>
      <c r="D1334" s="916"/>
      <c r="E1334" s="905"/>
      <c r="F1334" s="841"/>
      <c r="G1334" s="841"/>
      <c r="H1334" s="840">
        <f t="shared" si="40"/>
        <v>0</v>
      </c>
      <c r="I1334" s="840">
        <f t="shared" si="41"/>
        <v>0</v>
      </c>
    </row>
    <row r="1335" spans="1:9" s="302" customFormat="1" hidden="1">
      <c r="A1335" s="1071"/>
      <c r="B1335" s="475"/>
      <c r="C1335" s="916"/>
      <c r="D1335" s="916"/>
      <c r="E1335" s="905"/>
      <c r="F1335" s="841"/>
      <c r="G1335" s="841"/>
      <c r="H1335" s="840">
        <f t="shared" si="40"/>
        <v>0</v>
      </c>
      <c r="I1335" s="840">
        <f t="shared" si="41"/>
        <v>0</v>
      </c>
    </row>
    <row r="1336" spans="1:9" s="302" customFormat="1" hidden="1">
      <c r="A1336" s="1071"/>
      <c r="B1336" s="475"/>
      <c r="C1336" s="916"/>
      <c r="D1336" s="916"/>
      <c r="E1336" s="905"/>
      <c r="F1336" s="841"/>
      <c r="G1336" s="841"/>
      <c r="H1336" s="840">
        <f t="shared" si="40"/>
        <v>0</v>
      </c>
      <c r="I1336" s="840">
        <f t="shared" si="41"/>
        <v>0</v>
      </c>
    </row>
    <row r="1337" spans="1:9" s="302" customFormat="1" hidden="1">
      <c r="A1337" s="1071"/>
      <c r="B1337" s="475"/>
      <c r="C1337" s="916"/>
      <c r="D1337" s="916"/>
      <c r="E1337" s="905"/>
      <c r="F1337" s="841"/>
      <c r="G1337" s="841"/>
      <c r="H1337" s="840">
        <f t="shared" si="40"/>
        <v>0</v>
      </c>
      <c r="I1337" s="840">
        <f t="shared" si="41"/>
        <v>0</v>
      </c>
    </row>
    <row r="1338" spans="1:9" s="302" customFormat="1" hidden="1">
      <c r="A1338" s="1071"/>
      <c r="B1338" s="475"/>
      <c r="C1338" s="916"/>
      <c r="D1338" s="916"/>
      <c r="E1338" s="905"/>
      <c r="F1338" s="841"/>
      <c r="G1338" s="841"/>
      <c r="H1338" s="840">
        <f t="shared" si="40"/>
        <v>0</v>
      </c>
      <c r="I1338" s="840">
        <f t="shared" si="41"/>
        <v>0</v>
      </c>
    </row>
    <row r="1339" spans="1:9" s="302" customFormat="1" hidden="1">
      <c r="A1339" s="1071"/>
      <c r="B1339" s="475"/>
      <c r="C1339" s="916"/>
      <c r="D1339" s="916"/>
      <c r="E1339" s="905"/>
      <c r="F1339" s="841"/>
      <c r="G1339" s="841"/>
      <c r="H1339" s="840">
        <f t="shared" si="40"/>
        <v>0</v>
      </c>
      <c r="I1339" s="840">
        <f t="shared" si="41"/>
        <v>0</v>
      </c>
    </row>
    <row r="1340" spans="1:9" s="302" customFormat="1" hidden="1">
      <c r="A1340" s="1071"/>
      <c r="B1340" s="475"/>
      <c r="C1340" s="916"/>
      <c r="D1340" s="916"/>
      <c r="E1340" s="905"/>
      <c r="F1340" s="841"/>
      <c r="G1340" s="841"/>
      <c r="H1340" s="840">
        <f t="shared" si="40"/>
        <v>0</v>
      </c>
      <c r="I1340" s="840">
        <f t="shared" si="41"/>
        <v>0</v>
      </c>
    </row>
    <row r="1341" spans="1:9" s="302" customFormat="1" hidden="1">
      <c r="A1341" s="1071"/>
      <c r="B1341" s="475"/>
      <c r="C1341" s="916"/>
      <c r="D1341" s="916"/>
      <c r="E1341" s="905"/>
      <c r="F1341" s="841"/>
      <c r="G1341" s="841"/>
      <c r="H1341" s="840">
        <f t="shared" si="40"/>
        <v>0</v>
      </c>
      <c r="I1341" s="840">
        <f t="shared" si="41"/>
        <v>0</v>
      </c>
    </row>
    <row r="1342" spans="1:9" s="302" customFormat="1" hidden="1">
      <c r="A1342" s="1071"/>
      <c r="B1342" s="475"/>
      <c r="C1342" s="916"/>
      <c r="D1342" s="916"/>
      <c r="E1342" s="905"/>
      <c r="F1342" s="841"/>
      <c r="G1342" s="841"/>
      <c r="H1342" s="840">
        <f t="shared" si="40"/>
        <v>0</v>
      </c>
      <c r="I1342" s="840">
        <f t="shared" si="41"/>
        <v>0</v>
      </c>
    </row>
    <row r="1343" spans="1:9" s="302" customFormat="1" hidden="1">
      <c r="A1343" s="1071"/>
      <c r="B1343" s="475"/>
      <c r="C1343" s="916"/>
      <c r="D1343" s="916"/>
      <c r="E1343" s="905"/>
      <c r="F1343" s="841"/>
      <c r="G1343" s="841"/>
      <c r="H1343" s="840">
        <f t="shared" si="40"/>
        <v>0</v>
      </c>
      <c r="I1343" s="840">
        <f t="shared" si="41"/>
        <v>0</v>
      </c>
    </row>
    <row r="1344" spans="1:9" s="302" customFormat="1" hidden="1">
      <c r="A1344" s="1071"/>
      <c r="B1344" s="475"/>
      <c r="C1344" s="905"/>
      <c r="D1344" s="931"/>
      <c r="E1344" s="931"/>
      <c r="F1344" s="841"/>
      <c r="G1344" s="841"/>
      <c r="H1344" s="840">
        <f t="shared" si="40"/>
        <v>0</v>
      </c>
      <c r="I1344" s="840">
        <f t="shared" si="41"/>
        <v>0</v>
      </c>
    </row>
    <row r="1345" spans="1:9" s="302" customFormat="1" ht="18" hidden="1" customHeight="1">
      <c r="A1345" s="1071"/>
      <c r="B1345" s="475"/>
      <c r="C1345" s="916"/>
      <c r="D1345" s="916"/>
      <c r="E1345" s="912"/>
      <c r="F1345" s="841"/>
      <c r="G1345" s="841"/>
      <c r="H1345" s="840">
        <f t="shared" si="40"/>
        <v>0</v>
      </c>
      <c r="I1345" s="840">
        <f t="shared" si="41"/>
        <v>0</v>
      </c>
    </row>
    <row r="1346" spans="1:9" s="302" customFormat="1" ht="18" hidden="1" customHeight="1">
      <c r="A1346" s="1071"/>
      <c r="B1346" s="475"/>
      <c r="C1346" s="916"/>
      <c r="D1346" s="916"/>
      <c r="E1346" s="912"/>
      <c r="F1346" s="841"/>
      <c r="G1346" s="841"/>
      <c r="H1346" s="840">
        <f t="shared" si="40"/>
        <v>0</v>
      </c>
      <c r="I1346" s="840">
        <f t="shared" si="41"/>
        <v>0</v>
      </c>
    </row>
    <row r="1347" spans="1:9" s="302" customFormat="1" ht="18" hidden="1" customHeight="1">
      <c r="A1347" s="1071"/>
      <c r="B1347" s="475"/>
      <c r="C1347" s="916"/>
      <c r="D1347" s="916"/>
      <c r="E1347" s="912"/>
      <c r="F1347" s="841"/>
      <c r="G1347" s="841"/>
      <c r="H1347" s="840">
        <f t="shared" si="40"/>
        <v>0</v>
      </c>
      <c r="I1347" s="840">
        <f t="shared" si="41"/>
        <v>0</v>
      </c>
    </row>
    <row r="1348" spans="1:9" s="302" customFormat="1" ht="18" hidden="1" customHeight="1">
      <c r="A1348" s="1071"/>
      <c r="B1348" s="475"/>
      <c r="C1348" s="916"/>
      <c r="D1348" s="916"/>
      <c r="E1348" s="912"/>
      <c r="F1348" s="841"/>
      <c r="G1348" s="841"/>
      <c r="H1348" s="840">
        <f t="shared" si="40"/>
        <v>0</v>
      </c>
      <c r="I1348" s="840">
        <f t="shared" si="41"/>
        <v>0</v>
      </c>
    </row>
    <row r="1349" spans="1:9" s="302" customFormat="1" ht="18" hidden="1" customHeight="1">
      <c r="A1349" s="1071"/>
      <c r="B1349" s="475"/>
      <c r="C1349" s="916"/>
      <c r="D1349" s="916"/>
      <c r="E1349" s="912"/>
      <c r="F1349" s="841"/>
      <c r="G1349" s="841"/>
      <c r="H1349" s="840">
        <f t="shared" si="40"/>
        <v>0</v>
      </c>
      <c r="I1349" s="840">
        <f t="shared" si="41"/>
        <v>0</v>
      </c>
    </row>
    <row r="1350" spans="1:9" s="302" customFormat="1" ht="18" hidden="1" customHeight="1">
      <c r="A1350" s="1071"/>
      <c r="B1350" s="475"/>
      <c r="C1350" s="916"/>
      <c r="D1350" s="916"/>
      <c r="E1350" s="912"/>
      <c r="F1350" s="841"/>
      <c r="G1350" s="841"/>
      <c r="H1350" s="840">
        <f t="shared" si="40"/>
        <v>0</v>
      </c>
      <c r="I1350" s="840">
        <f t="shared" si="41"/>
        <v>0</v>
      </c>
    </row>
    <row r="1351" spans="1:9" s="302" customFormat="1" ht="18" hidden="1" customHeight="1">
      <c r="A1351" s="1071"/>
      <c r="B1351" s="475"/>
      <c r="C1351" s="916"/>
      <c r="D1351" s="916"/>
      <c r="E1351" s="912"/>
      <c r="F1351" s="841"/>
      <c r="G1351" s="841"/>
      <c r="H1351" s="840">
        <f t="shared" si="40"/>
        <v>0</v>
      </c>
      <c r="I1351" s="840">
        <f t="shared" si="41"/>
        <v>0</v>
      </c>
    </row>
    <row r="1352" spans="1:9" s="302" customFormat="1" ht="18" hidden="1" customHeight="1">
      <c r="A1352" s="1071"/>
      <c r="B1352" s="475"/>
      <c r="C1352" s="916"/>
      <c r="D1352" s="916"/>
      <c r="E1352" s="912"/>
      <c r="F1352" s="841"/>
      <c r="G1352" s="841"/>
      <c r="H1352" s="840">
        <f t="shared" si="40"/>
        <v>0</v>
      </c>
      <c r="I1352" s="840">
        <f t="shared" si="41"/>
        <v>0</v>
      </c>
    </row>
    <row r="1353" spans="1:9" s="302" customFormat="1" ht="18" hidden="1" customHeight="1">
      <c r="A1353" s="1071"/>
      <c r="B1353" s="475"/>
      <c r="C1353" s="916"/>
      <c r="D1353" s="916"/>
      <c r="E1353" s="905"/>
      <c r="F1353" s="841"/>
      <c r="G1353" s="841"/>
      <c r="H1353" s="840">
        <f t="shared" ref="H1353:H1416" si="42">E1353+D1353-C1353</f>
        <v>0</v>
      </c>
      <c r="I1353" s="840">
        <f t="shared" ref="I1353:I1416" si="43">SUM(C1353:E1353)</f>
        <v>0</v>
      </c>
    </row>
    <row r="1354" spans="1:9" s="302" customFormat="1" ht="18" hidden="1" customHeight="1">
      <c r="A1354" s="1071"/>
      <c r="B1354" s="475"/>
      <c r="C1354" s="916"/>
      <c r="D1354" s="916"/>
      <c r="E1354" s="905"/>
      <c r="F1354" s="841"/>
      <c r="G1354" s="841"/>
      <c r="H1354" s="840">
        <f t="shared" si="42"/>
        <v>0</v>
      </c>
      <c r="I1354" s="840">
        <f t="shared" si="43"/>
        <v>0</v>
      </c>
    </row>
    <row r="1355" spans="1:9" s="302" customFormat="1" ht="18" hidden="1" customHeight="1">
      <c r="A1355" s="1071"/>
      <c r="B1355" s="475"/>
      <c r="C1355" s="916"/>
      <c r="D1355" s="916"/>
      <c r="E1355" s="905"/>
      <c r="F1355" s="841"/>
      <c r="G1355" s="841"/>
      <c r="H1355" s="840">
        <f t="shared" si="42"/>
        <v>0</v>
      </c>
      <c r="I1355" s="840">
        <f t="shared" si="43"/>
        <v>0</v>
      </c>
    </row>
    <row r="1356" spans="1:9" s="302" customFormat="1" ht="18" hidden="1" customHeight="1">
      <c r="A1356" s="1071"/>
      <c r="B1356" s="475"/>
      <c r="C1356" s="916"/>
      <c r="D1356" s="916"/>
      <c r="E1356" s="905"/>
      <c r="F1356" s="841"/>
      <c r="G1356" s="841"/>
      <c r="H1356" s="840">
        <f t="shared" si="42"/>
        <v>0</v>
      </c>
      <c r="I1356" s="840">
        <f t="shared" si="43"/>
        <v>0</v>
      </c>
    </row>
    <row r="1357" spans="1:9" s="302" customFormat="1" ht="18" hidden="1" customHeight="1">
      <c r="A1357" s="1071"/>
      <c r="B1357" s="475"/>
      <c r="C1357" s="916"/>
      <c r="D1357" s="916"/>
      <c r="E1357" s="905"/>
      <c r="F1357" s="841"/>
      <c r="G1357" s="841"/>
      <c r="H1357" s="840">
        <f t="shared" si="42"/>
        <v>0</v>
      </c>
      <c r="I1357" s="840">
        <f t="shared" si="43"/>
        <v>0</v>
      </c>
    </row>
    <row r="1358" spans="1:9" s="302" customFormat="1" ht="18" hidden="1" customHeight="1">
      <c r="A1358" s="1071"/>
      <c r="B1358" s="475"/>
      <c r="C1358" s="916"/>
      <c r="D1358" s="916"/>
      <c r="E1358" s="905"/>
      <c r="F1358" s="841"/>
      <c r="G1358" s="841"/>
      <c r="H1358" s="840">
        <f t="shared" si="42"/>
        <v>0</v>
      </c>
      <c r="I1358" s="840">
        <f t="shared" si="43"/>
        <v>0</v>
      </c>
    </row>
    <row r="1359" spans="1:9" s="302" customFormat="1" ht="18" hidden="1" customHeight="1">
      <c r="A1359" s="1071"/>
      <c r="B1359" s="475"/>
      <c r="C1359" s="916"/>
      <c r="D1359" s="916"/>
      <c r="E1359" s="905"/>
      <c r="F1359" s="841"/>
      <c r="G1359" s="841"/>
      <c r="H1359" s="840">
        <f t="shared" si="42"/>
        <v>0</v>
      </c>
      <c r="I1359" s="840">
        <f t="shared" si="43"/>
        <v>0</v>
      </c>
    </row>
    <row r="1360" spans="1:9" s="302" customFormat="1" ht="18" hidden="1" customHeight="1">
      <c r="A1360" s="1071"/>
      <c r="B1360" s="475"/>
      <c r="C1360" s="916"/>
      <c r="D1360" s="916"/>
      <c r="E1360" s="905"/>
      <c r="F1360" s="841"/>
      <c r="G1360" s="841"/>
      <c r="H1360" s="840">
        <f t="shared" si="42"/>
        <v>0</v>
      </c>
      <c r="I1360" s="840">
        <f t="shared" si="43"/>
        <v>0</v>
      </c>
    </row>
    <row r="1361" spans="1:9" s="302" customFormat="1" ht="18" hidden="1" customHeight="1">
      <c r="A1361" s="1071"/>
      <c r="B1361" s="475"/>
      <c r="C1361" s="916"/>
      <c r="D1361" s="916"/>
      <c r="E1361" s="905"/>
      <c r="F1361" s="841"/>
      <c r="G1361" s="841"/>
      <c r="H1361" s="840">
        <f t="shared" si="42"/>
        <v>0</v>
      </c>
      <c r="I1361" s="840">
        <f t="shared" si="43"/>
        <v>0</v>
      </c>
    </row>
    <row r="1362" spans="1:9" s="302" customFormat="1" ht="18" hidden="1" customHeight="1">
      <c r="A1362" s="1071"/>
      <c r="B1362" s="475"/>
      <c r="C1362" s="916"/>
      <c r="D1362" s="916"/>
      <c r="E1362" s="905"/>
      <c r="F1362" s="841"/>
      <c r="G1362" s="841"/>
      <c r="H1362" s="840">
        <f t="shared" si="42"/>
        <v>0</v>
      </c>
      <c r="I1362" s="840">
        <f t="shared" si="43"/>
        <v>0</v>
      </c>
    </row>
    <row r="1363" spans="1:9" s="302" customFormat="1" ht="18" hidden="1" customHeight="1">
      <c r="A1363" s="1071"/>
      <c r="B1363" s="475"/>
      <c r="C1363" s="916"/>
      <c r="D1363" s="916"/>
      <c r="E1363" s="905"/>
      <c r="F1363" s="841"/>
      <c r="G1363" s="841"/>
      <c r="H1363" s="840">
        <f t="shared" si="42"/>
        <v>0</v>
      </c>
      <c r="I1363" s="840">
        <f t="shared" si="43"/>
        <v>0</v>
      </c>
    </row>
    <row r="1364" spans="1:9" s="302" customFormat="1" ht="18" hidden="1" customHeight="1">
      <c r="A1364" s="1071"/>
      <c r="B1364" s="475"/>
      <c r="C1364" s="916"/>
      <c r="D1364" s="916"/>
      <c r="E1364" s="905"/>
      <c r="F1364" s="841"/>
      <c r="G1364" s="841"/>
      <c r="H1364" s="840">
        <f t="shared" si="42"/>
        <v>0</v>
      </c>
      <c r="I1364" s="840">
        <f t="shared" si="43"/>
        <v>0</v>
      </c>
    </row>
    <row r="1365" spans="1:9" s="302" customFormat="1" ht="18" hidden="1" customHeight="1">
      <c r="A1365" s="1071"/>
      <c r="B1365" s="475"/>
      <c r="C1365" s="916"/>
      <c r="D1365" s="916"/>
      <c r="E1365" s="905"/>
      <c r="F1365" s="841"/>
      <c r="G1365" s="841"/>
      <c r="H1365" s="840">
        <f t="shared" si="42"/>
        <v>0</v>
      </c>
      <c r="I1365" s="840">
        <f t="shared" si="43"/>
        <v>0</v>
      </c>
    </row>
    <row r="1366" spans="1:9" s="302" customFormat="1" ht="18" hidden="1" customHeight="1">
      <c r="A1366" s="1071"/>
      <c r="B1366" s="475"/>
      <c r="C1366" s="916"/>
      <c r="D1366" s="916"/>
      <c r="E1366" s="905"/>
      <c r="F1366" s="841"/>
      <c r="G1366" s="841"/>
      <c r="H1366" s="840">
        <f t="shared" si="42"/>
        <v>0</v>
      </c>
      <c r="I1366" s="840">
        <f t="shared" si="43"/>
        <v>0</v>
      </c>
    </row>
    <row r="1367" spans="1:9" s="302" customFormat="1" ht="18" hidden="1" customHeight="1">
      <c r="A1367" s="1071"/>
      <c r="B1367" s="475"/>
      <c r="C1367" s="916"/>
      <c r="D1367" s="916"/>
      <c r="E1367" s="905"/>
      <c r="F1367" s="841"/>
      <c r="G1367" s="841"/>
      <c r="H1367" s="840">
        <f t="shared" si="42"/>
        <v>0</v>
      </c>
      <c r="I1367" s="840">
        <f t="shared" si="43"/>
        <v>0</v>
      </c>
    </row>
    <row r="1368" spans="1:9" s="302" customFormat="1" ht="18" hidden="1" customHeight="1">
      <c r="A1368" s="1071"/>
      <c r="B1368" s="475"/>
      <c r="C1368" s="916"/>
      <c r="D1368" s="916"/>
      <c r="E1368" s="905"/>
      <c r="F1368" s="841"/>
      <c r="G1368" s="841"/>
      <c r="H1368" s="840">
        <f t="shared" si="42"/>
        <v>0</v>
      </c>
      <c r="I1368" s="840">
        <f t="shared" si="43"/>
        <v>0</v>
      </c>
    </row>
    <row r="1369" spans="1:9" s="302" customFormat="1" ht="18" hidden="1" customHeight="1">
      <c r="A1369" s="1071"/>
      <c r="B1369" s="475"/>
      <c r="C1369" s="916"/>
      <c r="D1369" s="916"/>
      <c r="E1369" s="905"/>
      <c r="F1369" s="841"/>
      <c r="G1369" s="841"/>
      <c r="H1369" s="840">
        <f t="shared" si="42"/>
        <v>0</v>
      </c>
      <c r="I1369" s="840">
        <f t="shared" si="43"/>
        <v>0</v>
      </c>
    </row>
    <row r="1370" spans="1:9" s="302" customFormat="1" ht="18" hidden="1" customHeight="1">
      <c r="A1370" s="1071"/>
      <c r="B1370" s="475"/>
      <c r="C1370" s="916"/>
      <c r="D1370" s="916"/>
      <c r="E1370" s="905"/>
      <c r="F1370" s="841"/>
      <c r="G1370" s="841"/>
      <c r="H1370" s="840">
        <f t="shared" si="42"/>
        <v>0</v>
      </c>
      <c r="I1370" s="840">
        <f t="shared" si="43"/>
        <v>0</v>
      </c>
    </row>
    <row r="1371" spans="1:9" s="302" customFormat="1" ht="18" hidden="1" customHeight="1">
      <c r="A1371" s="1071"/>
      <c r="B1371" s="475"/>
      <c r="C1371" s="916"/>
      <c r="D1371" s="916"/>
      <c r="E1371" s="905"/>
      <c r="F1371" s="841"/>
      <c r="G1371" s="841"/>
      <c r="H1371" s="840">
        <f t="shared" si="42"/>
        <v>0</v>
      </c>
      <c r="I1371" s="840">
        <f t="shared" si="43"/>
        <v>0</v>
      </c>
    </row>
    <row r="1372" spans="1:9" s="302" customFormat="1" ht="18" hidden="1" customHeight="1">
      <c r="A1372" s="1071"/>
      <c r="B1372" s="475"/>
      <c r="C1372" s="916"/>
      <c r="D1372" s="916"/>
      <c r="E1372" s="905"/>
      <c r="F1372" s="841"/>
      <c r="G1372" s="841"/>
      <c r="H1372" s="840">
        <f t="shared" si="42"/>
        <v>0</v>
      </c>
      <c r="I1372" s="840">
        <f t="shared" si="43"/>
        <v>0</v>
      </c>
    </row>
    <row r="1373" spans="1:9" s="302" customFormat="1" ht="18" hidden="1" customHeight="1">
      <c r="A1373" s="1071"/>
      <c r="B1373" s="475"/>
      <c r="C1373" s="916"/>
      <c r="D1373" s="916"/>
      <c r="E1373" s="905"/>
      <c r="F1373" s="841"/>
      <c r="G1373" s="841"/>
      <c r="H1373" s="840">
        <f t="shared" si="42"/>
        <v>0</v>
      </c>
      <c r="I1373" s="840">
        <f t="shared" si="43"/>
        <v>0</v>
      </c>
    </row>
    <row r="1374" spans="1:9" s="302" customFormat="1" ht="18" hidden="1" customHeight="1">
      <c r="A1374" s="1071"/>
      <c r="B1374" s="475"/>
      <c r="C1374" s="916"/>
      <c r="D1374" s="916"/>
      <c r="E1374" s="905"/>
      <c r="F1374" s="841"/>
      <c r="G1374" s="841"/>
      <c r="H1374" s="840">
        <f t="shared" si="42"/>
        <v>0</v>
      </c>
      <c r="I1374" s="840">
        <f t="shared" si="43"/>
        <v>0</v>
      </c>
    </row>
    <row r="1375" spans="1:9" s="302" customFormat="1" ht="18" hidden="1" customHeight="1">
      <c r="A1375" s="1071"/>
      <c r="B1375" s="475"/>
      <c r="C1375" s="916"/>
      <c r="D1375" s="916"/>
      <c r="E1375" s="905"/>
      <c r="F1375" s="841"/>
      <c r="G1375" s="841"/>
      <c r="H1375" s="840">
        <f t="shared" si="42"/>
        <v>0</v>
      </c>
      <c r="I1375" s="840">
        <f t="shared" si="43"/>
        <v>0</v>
      </c>
    </row>
    <row r="1376" spans="1:9" s="302" customFormat="1" ht="18" hidden="1" customHeight="1">
      <c r="A1376" s="1071"/>
      <c r="B1376" s="475"/>
      <c r="C1376" s="916"/>
      <c r="D1376" s="916"/>
      <c r="E1376" s="905"/>
      <c r="F1376" s="841"/>
      <c r="G1376" s="841"/>
      <c r="H1376" s="840">
        <f t="shared" si="42"/>
        <v>0</v>
      </c>
      <c r="I1376" s="840">
        <f t="shared" si="43"/>
        <v>0</v>
      </c>
    </row>
    <row r="1377" spans="1:9" s="302" customFormat="1" ht="18" hidden="1" customHeight="1">
      <c r="A1377" s="1071"/>
      <c r="B1377" s="475"/>
      <c r="C1377" s="916"/>
      <c r="D1377" s="916"/>
      <c r="E1377" s="905"/>
      <c r="F1377" s="841"/>
      <c r="G1377" s="841"/>
      <c r="H1377" s="840">
        <f t="shared" si="42"/>
        <v>0</v>
      </c>
      <c r="I1377" s="840">
        <f t="shared" si="43"/>
        <v>0</v>
      </c>
    </row>
    <row r="1378" spans="1:9" s="302" customFormat="1" ht="18" hidden="1" customHeight="1">
      <c r="A1378" s="1071"/>
      <c r="B1378" s="475"/>
      <c r="C1378" s="916"/>
      <c r="D1378" s="916"/>
      <c r="E1378" s="905"/>
      <c r="F1378" s="841"/>
      <c r="G1378" s="841"/>
      <c r="H1378" s="840">
        <f t="shared" si="42"/>
        <v>0</v>
      </c>
      <c r="I1378" s="840">
        <f t="shared" si="43"/>
        <v>0</v>
      </c>
    </row>
    <row r="1379" spans="1:9" s="302" customFormat="1" ht="18" hidden="1" customHeight="1">
      <c r="A1379" s="1071"/>
      <c r="B1379" s="475"/>
      <c r="C1379" s="916"/>
      <c r="D1379" s="916"/>
      <c r="E1379" s="905"/>
      <c r="F1379" s="841"/>
      <c r="G1379" s="841"/>
      <c r="H1379" s="840">
        <f t="shared" si="42"/>
        <v>0</v>
      </c>
      <c r="I1379" s="840">
        <f t="shared" si="43"/>
        <v>0</v>
      </c>
    </row>
    <row r="1380" spans="1:9" s="302" customFormat="1" ht="18" hidden="1" customHeight="1">
      <c r="A1380" s="1071"/>
      <c r="B1380" s="475"/>
      <c r="C1380" s="916"/>
      <c r="D1380" s="916"/>
      <c r="E1380" s="905"/>
      <c r="F1380" s="841"/>
      <c r="G1380" s="841"/>
      <c r="H1380" s="840">
        <f t="shared" si="42"/>
        <v>0</v>
      </c>
      <c r="I1380" s="840">
        <f t="shared" si="43"/>
        <v>0</v>
      </c>
    </row>
    <row r="1381" spans="1:9" s="302" customFormat="1" ht="18" hidden="1" customHeight="1">
      <c r="A1381" s="1071"/>
      <c r="B1381" s="475"/>
      <c r="C1381" s="916"/>
      <c r="D1381" s="916"/>
      <c r="E1381" s="905"/>
      <c r="F1381" s="841"/>
      <c r="G1381" s="841"/>
      <c r="H1381" s="840">
        <f t="shared" si="42"/>
        <v>0</v>
      </c>
      <c r="I1381" s="840">
        <f t="shared" si="43"/>
        <v>0</v>
      </c>
    </row>
    <row r="1382" spans="1:9" s="302" customFormat="1" ht="18" hidden="1" customHeight="1">
      <c r="A1382" s="1071"/>
      <c r="B1382" s="475"/>
      <c r="C1382" s="916"/>
      <c r="D1382" s="916"/>
      <c r="E1382" s="905"/>
      <c r="F1382" s="841"/>
      <c r="G1382" s="841"/>
      <c r="H1382" s="840">
        <f t="shared" si="42"/>
        <v>0</v>
      </c>
      <c r="I1382" s="840">
        <f t="shared" si="43"/>
        <v>0</v>
      </c>
    </row>
    <row r="1383" spans="1:9" s="302" customFormat="1" ht="18" hidden="1" customHeight="1">
      <c r="A1383" s="1071"/>
      <c r="B1383" s="475"/>
      <c r="C1383" s="916"/>
      <c r="D1383" s="916"/>
      <c r="E1383" s="905"/>
      <c r="F1383" s="841"/>
      <c r="G1383" s="841"/>
      <c r="H1383" s="840">
        <f t="shared" si="42"/>
        <v>0</v>
      </c>
      <c r="I1383" s="840">
        <f t="shared" si="43"/>
        <v>0</v>
      </c>
    </row>
    <row r="1384" spans="1:9" s="302" customFormat="1" ht="18" hidden="1" customHeight="1">
      <c r="A1384" s="1071"/>
      <c r="B1384" s="475"/>
      <c r="C1384" s="916"/>
      <c r="D1384" s="916"/>
      <c r="E1384" s="905"/>
      <c r="F1384" s="841"/>
      <c r="G1384" s="841"/>
      <c r="H1384" s="840">
        <f t="shared" si="42"/>
        <v>0</v>
      </c>
      <c r="I1384" s="840">
        <f t="shared" si="43"/>
        <v>0</v>
      </c>
    </row>
    <row r="1385" spans="1:9" s="302" customFormat="1" ht="18" hidden="1" customHeight="1">
      <c r="A1385" s="1071"/>
      <c r="B1385" s="864"/>
      <c r="C1385" s="917"/>
      <c r="D1385" s="917"/>
      <c r="E1385" s="918"/>
      <c r="F1385" s="841"/>
      <c r="G1385" s="841"/>
      <c r="H1385" s="840">
        <f t="shared" si="42"/>
        <v>0</v>
      </c>
      <c r="I1385" s="840">
        <f t="shared" si="43"/>
        <v>0</v>
      </c>
    </row>
    <row r="1386" spans="1:9">
      <c r="A1386" s="1081"/>
      <c r="B1386" s="461" t="s">
        <v>253</v>
      </c>
      <c r="C1386" s="919">
        <f>SUM(C1265:C1385)</f>
        <v>363478</v>
      </c>
      <c r="D1386" s="919">
        <f>SUM(D1265:D1385)</f>
        <v>258978</v>
      </c>
      <c r="E1386" s="919">
        <f>SUM(E1265:E1385)</f>
        <v>104500</v>
      </c>
      <c r="F1386" s="850">
        <f>SUM(F1265:F1277)</f>
        <v>0</v>
      </c>
      <c r="G1386" s="851">
        <f>SUM(G1265:G1277)</f>
        <v>0</v>
      </c>
      <c r="H1386" s="840">
        <f t="shared" si="42"/>
        <v>0</v>
      </c>
      <c r="I1386" s="840">
        <f t="shared" si="43"/>
        <v>726956</v>
      </c>
    </row>
    <row r="1387" spans="1:9" ht="75">
      <c r="A1387" s="1081" t="s">
        <v>398</v>
      </c>
      <c r="B1387" s="887" t="s">
        <v>952</v>
      </c>
      <c r="C1387" s="530">
        <v>173300</v>
      </c>
      <c r="D1387" s="530">
        <v>173300</v>
      </c>
      <c r="E1387" s="905"/>
      <c r="F1387" s="854"/>
      <c r="G1387" s="854"/>
      <c r="H1387" s="840">
        <f t="shared" si="42"/>
        <v>0</v>
      </c>
      <c r="I1387" s="840">
        <f t="shared" si="43"/>
        <v>346600</v>
      </c>
    </row>
    <row r="1388" spans="1:9" ht="112.5">
      <c r="A1388" s="1081"/>
      <c r="B1388" s="475" t="s">
        <v>953</v>
      </c>
      <c r="C1388" s="530">
        <f>100000-20000</f>
        <v>80000</v>
      </c>
      <c r="D1388" s="530"/>
      <c r="E1388" s="905">
        <f>100000-20000</f>
        <v>80000</v>
      </c>
      <c r="F1388" s="841"/>
      <c r="G1388" s="841"/>
      <c r="H1388" s="840">
        <f t="shared" si="42"/>
        <v>0</v>
      </c>
      <c r="I1388" s="840">
        <f t="shared" si="43"/>
        <v>160000</v>
      </c>
    </row>
    <row r="1389" spans="1:9">
      <c r="A1389" s="1081"/>
      <c r="B1389" s="475" t="s">
        <v>1087</v>
      </c>
      <c r="C1389" s="905">
        <v>200000</v>
      </c>
      <c r="D1389" s="905"/>
      <c r="E1389" s="905">
        <v>200000</v>
      </c>
      <c r="F1389" s="841"/>
      <c r="G1389" s="841"/>
      <c r="H1389" s="840">
        <f t="shared" si="42"/>
        <v>0</v>
      </c>
      <c r="I1389" s="840">
        <f t="shared" si="43"/>
        <v>400000</v>
      </c>
    </row>
    <row r="1390" spans="1:9" ht="56.25">
      <c r="A1390" s="1081"/>
      <c r="B1390" s="475" t="s">
        <v>1297</v>
      </c>
      <c r="C1390" s="530">
        <v>15000</v>
      </c>
      <c r="D1390" s="530">
        <v>15000</v>
      </c>
      <c r="E1390" s="905"/>
      <c r="F1390" s="841"/>
      <c r="G1390" s="841"/>
      <c r="H1390" s="840">
        <f t="shared" si="42"/>
        <v>0</v>
      </c>
      <c r="I1390" s="840">
        <f t="shared" si="43"/>
        <v>30000</v>
      </c>
    </row>
    <row r="1391" spans="1:9" ht="56.25">
      <c r="A1391" s="1081"/>
      <c r="B1391" s="475" t="s">
        <v>1298</v>
      </c>
      <c r="C1391" s="530">
        <v>14000</v>
      </c>
      <c r="D1391" s="530">
        <v>5000</v>
      </c>
      <c r="E1391" s="905">
        <v>9000</v>
      </c>
      <c r="F1391" s="841"/>
      <c r="G1391" s="841"/>
      <c r="H1391" s="840">
        <f t="shared" si="42"/>
        <v>0</v>
      </c>
      <c r="I1391" s="840">
        <f t="shared" si="43"/>
        <v>28000</v>
      </c>
    </row>
    <row r="1392" spans="1:9" ht="37.5">
      <c r="A1392" s="1081"/>
      <c r="B1392" s="475" t="s">
        <v>1299</v>
      </c>
      <c r="C1392" s="530">
        <v>15000</v>
      </c>
      <c r="D1392" s="530">
        <v>15000</v>
      </c>
      <c r="E1392" s="905"/>
      <c r="F1392" s="841"/>
      <c r="G1392" s="841"/>
      <c r="H1392" s="840">
        <f t="shared" si="42"/>
        <v>0</v>
      </c>
      <c r="I1392" s="840">
        <f t="shared" si="43"/>
        <v>30000</v>
      </c>
    </row>
    <row r="1393" spans="1:9" ht="56.25">
      <c r="A1393" s="1081"/>
      <c r="B1393" s="475" t="s">
        <v>1300</v>
      </c>
      <c r="C1393" s="530">
        <v>10000</v>
      </c>
      <c r="D1393" s="530"/>
      <c r="E1393" s="905">
        <v>10000</v>
      </c>
      <c r="F1393" s="841"/>
      <c r="G1393" s="841"/>
      <c r="H1393" s="840">
        <f t="shared" si="42"/>
        <v>0</v>
      </c>
      <c r="I1393" s="840">
        <f t="shared" si="43"/>
        <v>20000</v>
      </c>
    </row>
    <row r="1394" spans="1:9" ht="56.25">
      <c r="A1394" s="1081"/>
      <c r="B1394" s="475" t="s">
        <v>1301</v>
      </c>
      <c r="C1394" s="530">
        <v>20000</v>
      </c>
      <c r="D1394" s="530">
        <v>20000</v>
      </c>
      <c r="E1394" s="905"/>
      <c r="F1394" s="841"/>
      <c r="G1394" s="841"/>
      <c r="H1394" s="840">
        <f t="shared" si="42"/>
        <v>0</v>
      </c>
      <c r="I1394" s="840">
        <f t="shared" si="43"/>
        <v>40000</v>
      </c>
    </row>
    <row r="1395" spans="1:9" ht="37.5">
      <c r="A1395" s="1081"/>
      <c r="B1395" s="475" t="s">
        <v>1302</v>
      </c>
      <c r="C1395" s="530">
        <v>20000</v>
      </c>
      <c r="D1395" s="530">
        <v>20000</v>
      </c>
      <c r="E1395" s="905"/>
      <c r="F1395" s="841"/>
      <c r="G1395" s="841"/>
      <c r="H1395" s="840">
        <f t="shared" si="42"/>
        <v>0</v>
      </c>
      <c r="I1395" s="840">
        <f t="shared" si="43"/>
        <v>40000</v>
      </c>
    </row>
    <row r="1396" spans="1:9" ht="37.5">
      <c r="A1396" s="1081"/>
      <c r="B1396" s="475" t="s">
        <v>1303</v>
      </c>
      <c r="C1396" s="530">
        <v>7800</v>
      </c>
      <c r="D1396" s="530"/>
      <c r="E1396" s="905">
        <v>7800</v>
      </c>
      <c r="F1396" s="841"/>
      <c r="G1396" s="841"/>
      <c r="H1396" s="840">
        <f t="shared" si="42"/>
        <v>0</v>
      </c>
      <c r="I1396" s="840">
        <f t="shared" si="43"/>
        <v>15600</v>
      </c>
    </row>
    <row r="1397" spans="1:9" ht="37.5">
      <c r="A1397" s="1081"/>
      <c r="B1397" s="475" t="s">
        <v>1304</v>
      </c>
      <c r="C1397" s="530">
        <v>6000</v>
      </c>
      <c r="D1397" s="530">
        <v>6000</v>
      </c>
      <c r="E1397" s="905"/>
      <c r="F1397" s="841"/>
      <c r="G1397" s="841"/>
      <c r="H1397" s="840">
        <f t="shared" si="42"/>
        <v>0</v>
      </c>
      <c r="I1397" s="840">
        <f t="shared" si="43"/>
        <v>12000</v>
      </c>
    </row>
    <row r="1398" spans="1:9" s="302" customFormat="1" ht="56.25">
      <c r="A1398" s="1068"/>
      <c r="B1398" s="475" t="s">
        <v>1305</v>
      </c>
      <c r="C1398" s="530">
        <v>10000</v>
      </c>
      <c r="D1398" s="530">
        <v>10000</v>
      </c>
      <c r="E1398" s="905"/>
      <c r="F1398" s="841"/>
      <c r="G1398" s="841"/>
      <c r="H1398" s="840">
        <f t="shared" si="42"/>
        <v>0</v>
      </c>
      <c r="I1398" s="840">
        <f t="shared" si="43"/>
        <v>20000</v>
      </c>
    </row>
    <row r="1399" spans="1:9" s="302" customFormat="1" ht="37.5">
      <c r="A1399" s="1068"/>
      <c r="B1399" s="475" t="s">
        <v>1306</v>
      </c>
      <c r="C1399" s="530">
        <v>5500</v>
      </c>
      <c r="D1399" s="530">
        <v>5500</v>
      </c>
      <c r="E1399" s="905"/>
      <c r="F1399" s="841"/>
      <c r="G1399" s="841"/>
      <c r="H1399" s="840">
        <f t="shared" si="42"/>
        <v>0</v>
      </c>
      <c r="I1399" s="840">
        <f t="shared" si="43"/>
        <v>11000</v>
      </c>
    </row>
    <row r="1400" spans="1:9" s="302" customFormat="1" ht="37.5">
      <c r="A1400" s="1068"/>
      <c r="B1400" s="475" t="s">
        <v>1307</v>
      </c>
      <c r="C1400" s="530">
        <v>15000</v>
      </c>
      <c r="D1400" s="530">
        <v>15000</v>
      </c>
      <c r="E1400" s="905"/>
      <c r="F1400" s="841"/>
      <c r="G1400" s="841"/>
      <c r="H1400" s="840">
        <f t="shared" si="42"/>
        <v>0</v>
      </c>
      <c r="I1400" s="840">
        <f t="shared" si="43"/>
        <v>30000</v>
      </c>
    </row>
    <row r="1401" spans="1:9" s="302" customFormat="1" ht="56.25">
      <c r="A1401" s="1068"/>
      <c r="B1401" s="475" t="s">
        <v>1308</v>
      </c>
      <c r="C1401" s="530">
        <v>8000</v>
      </c>
      <c r="D1401" s="530"/>
      <c r="E1401" s="905">
        <v>8000</v>
      </c>
      <c r="F1401" s="841"/>
      <c r="G1401" s="841"/>
      <c r="H1401" s="840">
        <f t="shared" si="42"/>
        <v>0</v>
      </c>
      <c r="I1401" s="840">
        <f t="shared" si="43"/>
        <v>16000</v>
      </c>
    </row>
    <row r="1402" spans="1:9" s="302" customFormat="1" ht="37.5">
      <c r="A1402" s="1068"/>
      <c r="B1402" s="475" t="s">
        <v>1309</v>
      </c>
      <c r="C1402" s="530">
        <v>50000</v>
      </c>
      <c r="D1402" s="530"/>
      <c r="E1402" s="905">
        <v>50000</v>
      </c>
      <c r="F1402" s="841"/>
      <c r="G1402" s="841"/>
      <c r="H1402" s="840">
        <f t="shared" si="42"/>
        <v>0</v>
      </c>
      <c r="I1402" s="840">
        <f t="shared" si="43"/>
        <v>100000</v>
      </c>
    </row>
    <row r="1403" spans="1:9" s="302" customFormat="1" ht="56.25">
      <c r="A1403" s="1068"/>
      <c r="B1403" s="475" t="s">
        <v>1310</v>
      </c>
      <c r="C1403" s="530">
        <v>14000</v>
      </c>
      <c r="D1403" s="530">
        <v>5000</v>
      </c>
      <c r="E1403" s="905">
        <v>9000</v>
      </c>
      <c r="F1403" s="841"/>
      <c r="G1403" s="841"/>
      <c r="H1403" s="840">
        <f t="shared" si="42"/>
        <v>0</v>
      </c>
      <c r="I1403" s="840">
        <f t="shared" si="43"/>
        <v>28000</v>
      </c>
    </row>
    <row r="1404" spans="1:9" s="302" customFormat="1" ht="56.25">
      <c r="A1404" s="1068"/>
      <c r="B1404" s="475" t="s">
        <v>1311</v>
      </c>
      <c r="C1404" s="530">
        <v>15778</v>
      </c>
      <c r="D1404" s="530"/>
      <c r="E1404" s="905">
        <v>15778</v>
      </c>
      <c r="F1404" s="841"/>
      <c r="G1404" s="841"/>
      <c r="H1404" s="840">
        <f t="shared" si="42"/>
        <v>0</v>
      </c>
      <c r="I1404" s="840">
        <f t="shared" si="43"/>
        <v>31556</v>
      </c>
    </row>
    <row r="1405" spans="1:9" s="302" customFormat="1" ht="56.25">
      <c r="A1405" s="1068"/>
      <c r="B1405" s="475" t="s">
        <v>1898</v>
      </c>
      <c r="C1405" s="911">
        <v>35000</v>
      </c>
      <c r="D1405" s="911">
        <v>5000</v>
      </c>
      <c r="E1405" s="911">
        <v>30000</v>
      </c>
      <c r="F1405" s="841"/>
      <c r="G1405" s="841"/>
      <c r="H1405" s="840">
        <f t="shared" si="42"/>
        <v>0</v>
      </c>
      <c r="I1405" s="840">
        <f t="shared" si="43"/>
        <v>70000</v>
      </c>
    </row>
    <row r="1406" spans="1:9" s="302" customFormat="1" ht="37.5">
      <c r="A1406" s="1068"/>
      <c r="B1406" s="475" t="s">
        <v>1899</v>
      </c>
      <c r="C1406" s="911">
        <v>50000</v>
      </c>
      <c r="D1406" s="911">
        <v>50000</v>
      </c>
      <c r="E1406" s="911"/>
      <c r="F1406" s="841"/>
      <c r="G1406" s="841"/>
      <c r="H1406" s="840">
        <f t="shared" si="42"/>
        <v>0</v>
      </c>
      <c r="I1406" s="840">
        <f t="shared" si="43"/>
        <v>100000</v>
      </c>
    </row>
    <row r="1407" spans="1:9" s="302" customFormat="1" ht="37.5">
      <c r="A1407" s="1068"/>
      <c r="B1407" s="475" t="s">
        <v>2062</v>
      </c>
      <c r="C1407" s="908">
        <v>30000</v>
      </c>
      <c r="D1407" s="908">
        <v>30000</v>
      </c>
      <c r="E1407" s="905"/>
      <c r="F1407" s="841"/>
      <c r="G1407" s="841"/>
      <c r="H1407" s="840">
        <f t="shared" si="42"/>
        <v>0</v>
      </c>
      <c r="I1407" s="840">
        <f t="shared" si="43"/>
        <v>60000</v>
      </c>
    </row>
    <row r="1408" spans="1:9" s="302" customFormat="1" ht="56.25">
      <c r="A1408" s="1068"/>
      <c r="B1408" s="475" t="s">
        <v>2063</v>
      </c>
      <c r="C1408" s="908">
        <v>50000</v>
      </c>
      <c r="D1408" s="908">
        <v>50000</v>
      </c>
      <c r="E1408" s="905"/>
      <c r="F1408" s="841"/>
      <c r="G1408" s="841"/>
      <c r="H1408" s="840">
        <f t="shared" si="42"/>
        <v>0</v>
      </c>
      <c r="I1408" s="840">
        <f t="shared" si="43"/>
        <v>100000</v>
      </c>
    </row>
    <row r="1409" spans="1:9" s="302" customFormat="1" ht="56.25">
      <c r="A1409" s="1068"/>
      <c r="B1409" s="475" t="s">
        <v>2064</v>
      </c>
      <c r="C1409" s="905">
        <v>15000</v>
      </c>
      <c r="D1409" s="905"/>
      <c r="E1409" s="905">
        <v>15000</v>
      </c>
      <c r="F1409" s="841"/>
      <c r="G1409" s="841"/>
      <c r="H1409" s="840">
        <f t="shared" si="42"/>
        <v>0</v>
      </c>
      <c r="I1409" s="840">
        <f t="shared" si="43"/>
        <v>30000</v>
      </c>
    </row>
    <row r="1410" spans="1:9" s="302" customFormat="1" ht="75">
      <c r="A1410" s="1068"/>
      <c r="B1410" s="475" t="s">
        <v>2065</v>
      </c>
      <c r="C1410" s="905">
        <v>20000</v>
      </c>
      <c r="D1410" s="905"/>
      <c r="E1410" s="905">
        <v>20000</v>
      </c>
      <c r="F1410" s="841"/>
      <c r="G1410" s="841"/>
      <c r="H1410" s="840">
        <f t="shared" si="42"/>
        <v>0</v>
      </c>
      <c r="I1410" s="840">
        <f t="shared" si="43"/>
        <v>40000</v>
      </c>
    </row>
    <row r="1411" spans="1:9" s="302" customFormat="1" ht="131.25">
      <c r="A1411" s="1068"/>
      <c r="B1411" s="475" t="s">
        <v>2066</v>
      </c>
      <c r="C1411" s="905">
        <v>15000</v>
      </c>
      <c r="D1411" s="905">
        <v>15000</v>
      </c>
      <c r="E1411" s="905"/>
      <c r="F1411" s="841"/>
      <c r="G1411" s="841"/>
      <c r="H1411" s="840">
        <f t="shared" si="42"/>
        <v>0</v>
      </c>
      <c r="I1411" s="840">
        <f t="shared" si="43"/>
        <v>30000</v>
      </c>
    </row>
    <row r="1412" spans="1:9" s="302" customFormat="1" ht="37.5">
      <c r="A1412" s="1068"/>
      <c r="B1412" s="475" t="s">
        <v>2067</v>
      </c>
      <c r="C1412" s="905">
        <v>19000</v>
      </c>
      <c r="D1412" s="905"/>
      <c r="E1412" s="905">
        <v>19000</v>
      </c>
      <c r="F1412" s="841"/>
      <c r="G1412" s="841"/>
      <c r="H1412" s="840">
        <f t="shared" si="42"/>
        <v>0</v>
      </c>
      <c r="I1412" s="840">
        <f t="shared" si="43"/>
        <v>38000</v>
      </c>
    </row>
    <row r="1413" spans="1:9" s="302" customFormat="1" ht="56.25">
      <c r="A1413" s="1068"/>
      <c r="B1413" s="475" t="s">
        <v>2068</v>
      </c>
      <c r="C1413" s="905">
        <v>15000</v>
      </c>
      <c r="D1413" s="905">
        <v>5000</v>
      </c>
      <c r="E1413" s="905">
        <v>10000</v>
      </c>
      <c r="F1413" s="841"/>
      <c r="G1413" s="841"/>
      <c r="H1413" s="840">
        <f t="shared" si="42"/>
        <v>0</v>
      </c>
      <c r="I1413" s="840">
        <f t="shared" si="43"/>
        <v>30000</v>
      </c>
    </row>
    <row r="1414" spans="1:9" s="302" customFormat="1" ht="75">
      <c r="A1414" s="1068"/>
      <c r="B1414" s="475" t="s">
        <v>2069</v>
      </c>
      <c r="C1414" s="905">
        <v>10000</v>
      </c>
      <c r="D1414" s="905">
        <v>10000</v>
      </c>
      <c r="E1414" s="905"/>
      <c r="F1414" s="841"/>
      <c r="G1414" s="841"/>
      <c r="H1414" s="840">
        <f t="shared" si="42"/>
        <v>0</v>
      </c>
      <c r="I1414" s="840">
        <f t="shared" si="43"/>
        <v>20000</v>
      </c>
    </row>
    <row r="1415" spans="1:9" s="302" customFormat="1" ht="37.5">
      <c r="A1415" s="1068"/>
      <c r="B1415" s="475" t="s">
        <v>2070</v>
      </c>
      <c r="C1415" s="908">
        <v>14605</v>
      </c>
      <c r="D1415" s="908">
        <v>14605</v>
      </c>
      <c r="E1415" s="905"/>
      <c r="F1415" s="841"/>
      <c r="G1415" s="841"/>
      <c r="H1415" s="840">
        <f t="shared" si="42"/>
        <v>0</v>
      </c>
      <c r="I1415" s="840">
        <f t="shared" si="43"/>
        <v>29210</v>
      </c>
    </row>
    <row r="1416" spans="1:9" s="302" customFormat="1" ht="112.5">
      <c r="A1416" s="1068"/>
      <c r="B1416" s="475" t="s">
        <v>2580</v>
      </c>
      <c r="C1416" s="905">
        <v>75000</v>
      </c>
      <c r="D1416" s="905">
        <v>75000</v>
      </c>
      <c r="E1416" s="905"/>
      <c r="F1416" s="841"/>
      <c r="G1416" s="841"/>
      <c r="H1416" s="840">
        <f t="shared" si="42"/>
        <v>0</v>
      </c>
      <c r="I1416" s="840">
        <f t="shared" si="43"/>
        <v>150000</v>
      </c>
    </row>
    <row r="1417" spans="1:9" s="302" customFormat="1" ht="75">
      <c r="A1417" s="1068"/>
      <c r="B1417" s="475" t="s">
        <v>2772</v>
      </c>
      <c r="C1417" s="905">
        <v>20000</v>
      </c>
      <c r="D1417" s="905">
        <v>20000</v>
      </c>
      <c r="E1417" s="905"/>
      <c r="F1417" s="841"/>
      <c r="G1417" s="841"/>
      <c r="H1417" s="840">
        <f t="shared" ref="H1417:H1480" si="44">E1417+D1417-C1417</f>
        <v>0</v>
      </c>
      <c r="I1417" s="840">
        <f t="shared" ref="I1417:I1480" si="45">SUM(C1417:E1417)</f>
        <v>40000</v>
      </c>
    </row>
    <row r="1418" spans="1:9" s="302" customFormat="1" ht="56.25">
      <c r="A1418" s="1068"/>
      <c r="B1418" s="475" t="s">
        <v>2773</v>
      </c>
      <c r="C1418" s="905">
        <v>45000</v>
      </c>
      <c r="D1418" s="905">
        <v>45000</v>
      </c>
      <c r="E1418" s="905"/>
      <c r="F1418" s="841"/>
      <c r="G1418" s="841"/>
      <c r="H1418" s="840">
        <f t="shared" si="44"/>
        <v>0</v>
      </c>
      <c r="I1418" s="840">
        <f t="shared" si="45"/>
        <v>90000</v>
      </c>
    </row>
    <row r="1419" spans="1:9" s="302" customFormat="1" ht="37.5">
      <c r="A1419" s="1068"/>
      <c r="B1419" s="475" t="s">
        <v>2774</v>
      </c>
      <c r="C1419" s="908">
        <v>20000</v>
      </c>
      <c r="D1419" s="908">
        <v>20000</v>
      </c>
      <c r="E1419" s="908"/>
      <c r="F1419" s="841"/>
      <c r="G1419" s="841"/>
      <c r="H1419" s="840">
        <f t="shared" si="44"/>
        <v>0</v>
      </c>
      <c r="I1419" s="840">
        <f t="shared" si="45"/>
        <v>40000</v>
      </c>
    </row>
    <row r="1420" spans="1:9" s="302" customFormat="1" ht="37.5">
      <c r="A1420" s="1068"/>
      <c r="B1420" s="475" t="s">
        <v>2775</v>
      </c>
      <c r="C1420" s="908">
        <v>7000</v>
      </c>
      <c r="D1420" s="908"/>
      <c r="E1420" s="908">
        <v>7000</v>
      </c>
      <c r="F1420" s="841"/>
      <c r="G1420" s="841"/>
      <c r="H1420" s="840">
        <f t="shared" si="44"/>
        <v>0</v>
      </c>
      <c r="I1420" s="840">
        <f t="shared" si="45"/>
        <v>14000</v>
      </c>
    </row>
    <row r="1421" spans="1:9" s="302" customFormat="1" ht="75">
      <c r="A1421" s="1068"/>
      <c r="B1421" s="475" t="s">
        <v>2776</v>
      </c>
      <c r="C1421" s="908">
        <v>6000</v>
      </c>
      <c r="D1421" s="908">
        <v>6000</v>
      </c>
      <c r="E1421" s="905"/>
      <c r="F1421" s="841"/>
      <c r="G1421" s="841"/>
      <c r="H1421" s="840">
        <f t="shared" si="44"/>
        <v>0</v>
      </c>
      <c r="I1421" s="840">
        <f t="shared" si="45"/>
        <v>12000</v>
      </c>
    </row>
    <row r="1422" spans="1:9" s="302" customFormat="1" ht="56.25">
      <c r="A1422" s="1068"/>
      <c r="B1422" s="475" t="s">
        <v>2777</v>
      </c>
      <c r="C1422" s="908">
        <v>4000</v>
      </c>
      <c r="D1422" s="908">
        <v>4000</v>
      </c>
      <c r="E1422" s="905"/>
      <c r="F1422" s="841"/>
      <c r="G1422" s="841"/>
      <c r="H1422" s="840">
        <f t="shared" si="44"/>
        <v>0</v>
      </c>
      <c r="I1422" s="840">
        <f t="shared" si="45"/>
        <v>8000</v>
      </c>
    </row>
    <row r="1423" spans="1:9" s="302" customFormat="1" ht="56.25">
      <c r="A1423" s="1068"/>
      <c r="B1423" s="475" t="s">
        <v>2778</v>
      </c>
      <c r="C1423" s="908">
        <v>25000</v>
      </c>
      <c r="D1423" s="908"/>
      <c r="E1423" s="908">
        <v>25000</v>
      </c>
      <c r="F1423" s="841"/>
      <c r="G1423" s="841"/>
      <c r="H1423" s="840">
        <f t="shared" si="44"/>
        <v>0</v>
      </c>
      <c r="I1423" s="840">
        <f t="shared" si="45"/>
        <v>50000</v>
      </c>
    </row>
    <row r="1424" spans="1:9" s="302" customFormat="1" ht="75">
      <c r="A1424" s="1068"/>
      <c r="B1424" s="475" t="s">
        <v>2779</v>
      </c>
      <c r="C1424" s="908">
        <v>3000</v>
      </c>
      <c r="D1424" s="908">
        <v>3000</v>
      </c>
      <c r="E1424" s="908"/>
      <c r="F1424" s="841"/>
      <c r="G1424" s="841"/>
      <c r="H1424" s="840">
        <f t="shared" si="44"/>
        <v>0</v>
      </c>
      <c r="I1424" s="840">
        <f t="shared" si="45"/>
        <v>6000</v>
      </c>
    </row>
    <row r="1425" spans="1:9" s="302" customFormat="1" ht="56.25">
      <c r="A1425" s="1068"/>
      <c r="B1425" s="475" t="s">
        <v>2780</v>
      </c>
      <c r="C1425" s="908">
        <v>15000</v>
      </c>
      <c r="D1425" s="908">
        <v>15000</v>
      </c>
      <c r="E1425" s="908"/>
      <c r="F1425" s="841"/>
      <c r="G1425" s="841"/>
      <c r="H1425" s="840">
        <f t="shared" si="44"/>
        <v>0</v>
      </c>
      <c r="I1425" s="840">
        <f t="shared" si="45"/>
        <v>30000</v>
      </c>
    </row>
    <row r="1426" spans="1:9" s="302" customFormat="1" ht="112.5">
      <c r="A1426" s="1068"/>
      <c r="B1426" s="475" t="s">
        <v>2781</v>
      </c>
      <c r="C1426" s="908">
        <v>8500</v>
      </c>
      <c r="D1426" s="908">
        <v>8500</v>
      </c>
      <c r="E1426" s="908"/>
      <c r="F1426" s="841"/>
      <c r="G1426" s="841"/>
      <c r="H1426" s="840">
        <f t="shared" si="44"/>
        <v>0</v>
      </c>
      <c r="I1426" s="840">
        <f t="shared" si="45"/>
        <v>17000</v>
      </c>
    </row>
    <row r="1427" spans="1:9" s="302" customFormat="1" ht="75">
      <c r="A1427" s="1068"/>
      <c r="B1427" s="475" t="s">
        <v>2782</v>
      </c>
      <c r="C1427" s="908">
        <v>10000</v>
      </c>
      <c r="D1427" s="908">
        <v>10000</v>
      </c>
      <c r="E1427" s="908"/>
      <c r="F1427" s="841"/>
      <c r="G1427" s="841"/>
      <c r="H1427" s="840">
        <f t="shared" si="44"/>
        <v>0</v>
      </c>
      <c r="I1427" s="840">
        <f t="shared" si="45"/>
        <v>20000</v>
      </c>
    </row>
    <row r="1428" spans="1:9" s="302" customFormat="1" ht="56.25">
      <c r="A1428" s="1068"/>
      <c r="B1428" s="475" t="s">
        <v>2783</v>
      </c>
      <c r="C1428" s="908">
        <v>15000</v>
      </c>
      <c r="D1428" s="908">
        <v>15000</v>
      </c>
      <c r="E1428" s="908"/>
      <c r="F1428" s="841"/>
      <c r="G1428" s="841"/>
      <c r="H1428" s="840">
        <f t="shared" si="44"/>
        <v>0</v>
      </c>
      <c r="I1428" s="840">
        <f t="shared" si="45"/>
        <v>30000</v>
      </c>
    </row>
    <row r="1429" spans="1:9" s="302" customFormat="1" ht="56.25">
      <c r="A1429" s="1068"/>
      <c r="B1429" s="475" t="s">
        <v>2784</v>
      </c>
      <c r="C1429" s="908">
        <v>25500</v>
      </c>
      <c r="D1429" s="908">
        <v>25500</v>
      </c>
      <c r="E1429" s="908"/>
      <c r="F1429" s="841"/>
      <c r="G1429" s="841"/>
      <c r="H1429" s="840">
        <f t="shared" si="44"/>
        <v>0</v>
      </c>
      <c r="I1429" s="840">
        <f t="shared" si="45"/>
        <v>51000</v>
      </c>
    </row>
    <row r="1430" spans="1:9" s="302" customFormat="1" ht="93.75">
      <c r="A1430" s="1071"/>
      <c r="B1430" s="475" t="s">
        <v>2785</v>
      </c>
      <c r="C1430" s="908">
        <v>10000</v>
      </c>
      <c r="D1430" s="908">
        <v>10000</v>
      </c>
      <c r="E1430" s="908"/>
      <c r="F1430" s="841"/>
      <c r="G1430" s="841"/>
      <c r="H1430" s="840">
        <f t="shared" si="44"/>
        <v>0</v>
      </c>
      <c r="I1430" s="840">
        <f t="shared" si="45"/>
        <v>20000</v>
      </c>
    </row>
    <row r="1431" spans="1:9" s="302" customFormat="1" hidden="1">
      <c r="A1431" s="1071"/>
      <c r="B1431" s="892"/>
      <c r="C1431" s="905"/>
      <c r="D1431" s="905"/>
      <c r="E1431" s="905"/>
      <c r="F1431" s="841"/>
      <c r="G1431" s="841"/>
      <c r="H1431" s="840">
        <f t="shared" si="44"/>
        <v>0</v>
      </c>
      <c r="I1431" s="840">
        <f t="shared" si="45"/>
        <v>0</v>
      </c>
    </row>
    <row r="1432" spans="1:9" s="302" customFormat="1" hidden="1">
      <c r="A1432" s="1071"/>
      <c r="B1432" s="892"/>
      <c r="C1432" s="905"/>
      <c r="D1432" s="905"/>
      <c r="E1432" s="905"/>
      <c r="F1432" s="841"/>
      <c r="G1432" s="841"/>
      <c r="H1432" s="840">
        <f t="shared" si="44"/>
        <v>0</v>
      </c>
      <c r="I1432" s="840">
        <f t="shared" si="45"/>
        <v>0</v>
      </c>
    </row>
    <row r="1433" spans="1:9" s="302" customFormat="1" hidden="1">
      <c r="A1433" s="1071"/>
      <c r="B1433" s="892"/>
      <c r="C1433" s="905"/>
      <c r="D1433" s="905"/>
      <c r="E1433" s="905"/>
      <c r="F1433" s="841"/>
      <c r="G1433" s="841"/>
      <c r="H1433" s="840">
        <f t="shared" si="44"/>
        <v>0</v>
      </c>
      <c r="I1433" s="840">
        <f t="shared" si="45"/>
        <v>0</v>
      </c>
    </row>
    <row r="1434" spans="1:9" s="302" customFormat="1" hidden="1">
      <c r="A1434" s="1071"/>
      <c r="B1434" s="892"/>
      <c r="C1434" s="905"/>
      <c r="D1434" s="905"/>
      <c r="E1434" s="905"/>
      <c r="F1434" s="841"/>
      <c r="G1434" s="841"/>
      <c r="H1434" s="840">
        <f t="shared" si="44"/>
        <v>0</v>
      </c>
      <c r="I1434" s="840">
        <f t="shared" si="45"/>
        <v>0</v>
      </c>
    </row>
    <row r="1435" spans="1:9" s="302" customFormat="1" hidden="1">
      <c r="A1435" s="1071"/>
      <c r="B1435" s="892"/>
      <c r="C1435" s="905"/>
      <c r="D1435" s="905"/>
      <c r="E1435" s="905"/>
      <c r="F1435" s="841"/>
      <c r="G1435" s="841"/>
      <c r="H1435" s="840">
        <f t="shared" si="44"/>
        <v>0</v>
      </c>
      <c r="I1435" s="840">
        <f t="shared" si="45"/>
        <v>0</v>
      </c>
    </row>
    <row r="1436" spans="1:9" s="302" customFormat="1" hidden="1">
      <c r="A1436" s="1071"/>
      <c r="B1436" s="892"/>
      <c r="C1436" s="905"/>
      <c r="D1436" s="905"/>
      <c r="E1436" s="905"/>
      <c r="F1436" s="841"/>
      <c r="G1436" s="841"/>
      <c r="H1436" s="840">
        <f t="shared" si="44"/>
        <v>0</v>
      </c>
      <c r="I1436" s="840">
        <f t="shared" si="45"/>
        <v>0</v>
      </c>
    </row>
    <row r="1437" spans="1:9" s="302" customFormat="1" hidden="1">
      <c r="A1437" s="1071"/>
      <c r="B1437" s="892"/>
      <c r="C1437" s="905"/>
      <c r="D1437" s="905"/>
      <c r="E1437" s="905"/>
      <c r="F1437" s="841"/>
      <c r="G1437" s="841"/>
      <c r="H1437" s="840">
        <f t="shared" si="44"/>
        <v>0</v>
      </c>
      <c r="I1437" s="840">
        <f t="shared" si="45"/>
        <v>0</v>
      </c>
    </row>
    <row r="1438" spans="1:9" s="302" customFormat="1" hidden="1">
      <c r="A1438" s="1071"/>
      <c r="B1438" s="892"/>
      <c r="C1438" s="905"/>
      <c r="D1438" s="905"/>
      <c r="E1438" s="905"/>
      <c r="F1438" s="841"/>
      <c r="G1438" s="841"/>
      <c r="H1438" s="840">
        <f t="shared" si="44"/>
        <v>0</v>
      </c>
      <c r="I1438" s="840">
        <f t="shared" si="45"/>
        <v>0</v>
      </c>
    </row>
    <row r="1439" spans="1:9" s="302" customFormat="1" hidden="1">
      <c r="A1439" s="1071"/>
      <c r="B1439" s="892"/>
      <c r="C1439" s="905"/>
      <c r="D1439" s="905"/>
      <c r="E1439" s="905"/>
      <c r="F1439" s="841"/>
      <c r="G1439" s="841"/>
      <c r="H1439" s="840">
        <f t="shared" si="44"/>
        <v>0</v>
      </c>
      <c r="I1439" s="840">
        <f t="shared" si="45"/>
        <v>0</v>
      </c>
    </row>
    <row r="1440" spans="1:9" s="302" customFormat="1" hidden="1">
      <c r="A1440" s="1071"/>
      <c r="B1440" s="892"/>
      <c r="C1440" s="905"/>
      <c r="D1440" s="905"/>
      <c r="E1440" s="905"/>
      <c r="F1440" s="841"/>
      <c r="G1440" s="841"/>
      <c r="H1440" s="840">
        <f t="shared" si="44"/>
        <v>0</v>
      </c>
      <c r="I1440" s="840">
        <f t="shared" si="45"/>
        <v>0</v>
      </c>
    </row>
    <row r="1441" spans="1:9" s="302" customFormat="1" hidden="1">
      <c r="A1441" s="1071"/>
      <c r="B1441" s="892"/>
      <c r="C1441" s="905"/>
      <c r="D1441" s="905"/>
      <c r="E1441" s="905"/>
      <c r="F1441" s="841"/>
      <c r="G1441" s="841"/>
      <c r="H1441" s="840">
        <f t="shared" si="44"/>
        <v>0</v>
      </c>
      <c r="I1441" s="840">
        <f t="shared" si="45"/>
        <v>0</v>
      </c>
    </row>
    <row r="1442" spans="1:9" s="302" customFormat="1" hidden="1">
      <c r="A1442" s="1071"/>
      <c r="B1442" s="892"/>
      <c r="C1442" s="905"/>
      <c r="D1442" s="905"/>
      <c r="E1442" s="905"/>
      <c r="F1442" s="841"/>
      <c r="G1442" s="841"/>
      <c r="H1442" s="840">
        <f t="shared" si="44"/>
        <v>0</v>
      </c>
      <c r="I1442" s="840">
        <f t="shared" si="45"/>
        <v>0</v>
      </c>
    </row>
    <row r="1443" spans="1:9" s="302" customFormat="1" hidden="1">
      <c r="A1443" s="1071"/>
      <c r="B1443" s="892"/>
      <c r="C1443" s="905"/>
      <c r="D1443" s="905"/>
      <c r="E1443" s="905"/>
      <c r="F1443" s="841"/>
      <c r="G1443" s="841"/>
      <c r="H1443" s="840">
        <f t="shared" si="44"/>
        <v>0</v>
      </c>
      <c r="I1443" s="840">
        <f t="shared" si="45"/>
        <v>0</v>
      </c>
    </row>
    <row r="1444" spans="1:9" s="302" customFormat="1" hidden="1">
      <c r="A1444" s="1071"/>
      <c r="B1444" s="892"/>
      <c r="C1444" s="905"/>
      <c r="D1444" s="905"/>
      <c r="E1444" s="905"/>
      <c r="F1444" s="841"/>
      <c r="G1444" s="841"/>
      <c r="H1444" s="840">
        <f t="shared" si="44"/>
        <v>0</v>
      </c>
      <c r="I1444" s="840">
        <f t="shared" si="45"/>
        <v>0</v>
      </c>
    </row>
    <row r="1445" spans="1:9" s="302" customFormat="1" hidden="1">
      <c r="A1445" s="1071"/>
      <c r="B1445" s="892"/>
      <c r="C1445" s="905"/>
      <c r="D1445" s="905"/>
      <c r="E1445" s="905"/>
      <c r="F1445" s="841"/>
      <c r="G1445" s="841"/>
      <c r="H1445" s="840">
        <f t="shared" si="44"/>
        <v>0</v>
      </c>
      <c r="I1445" s="840">
        <f t="shared" si="45"/>
        <v>0</v>
      </c>
    </row>
    <row r="1446" spans="1:9" s="302" customFormat="1" hidden="1">
      <c r="A1446" s="1071"/>
      <c r="B1446" s="892"/>
      <c r="C1446" s="905"/>
      <c r="D1446" s="905"/>
      <c r="E1446" s="905"/>
      <c r="F1446" s="841"/>
      <c r="G1446" s="841"/>
      <c r="H1446" s="840">
        <f t="shared" si="44"/>
        <v>0</v>
      </c>
      <c r="I1446" s="840">
        <f t="shared" si="45"/>
        <v>0</v>
      </c>
    </row>
    <row r="1447" spans="1:9" s="302" customFormat="1" hidden="1">
      <c r="A1447" s="1071"/>
      <c r="B1447" s="892"/>
      <c r="C1447" s="905"/>
      <c r="D1447" s="905"/>
      <c r="E1447" s="905"/>
      <c r="F1447" s="841"/>
      <c r="G1447" s="841"/>
      <c r="H1447" s="840">
        <f t="shared" si="44"/>
        <v>0</v>
      </c>
      <c r="I1447" s="840">
        <f t="shared" si="45"/>
        <v>0</v>
      </c>
    </row>
    <row r="1448" spans="1:9" s="302" customFormat="1" hidden="1">
      <c r="A1448" s="1071"/>
      <c r="B1448" s="892"/>
      <c r="C1448" s="905"/>
      <c r="D1448" s="905"/>
      <c r="E1448" s="905"/>
      <c r="F1448" s="841"/>
      <c r="G1448" s="841"/>
      <c r="H1448" s="840">
        <f t="shared" si="44"/>
        <v>0</v>
      </c>
      <c r="I1448" s="840">
        <f t="shared" si="45"/>
        <v>0</v>
      </c>
    </row>
    <row r="1449" spans="1:9" s="302" customFormat="1" hidden="1">
      <c r="A1449" s="1071"/>
      <c r="B1449" s="892"/>
      <c r="C1449" s="905"/>
      <c r="D1449" s="905"/>
      <c r="E1449" s="905"/>
      <c r="F1449" s="841"/>
      <c r="G1449" s="841"/>
      <c r="H1449" s="840">
        <f t="shared" si="44"/>
        <v>0</v>
      </c>
      <c r="I1449" s="840">
        <f t="shared" si="45"/>
        <v>0</v>
      </c>
    </row>
    <row r="1450" spans="1:9" s="302" customFormat="1" hidden="1">
      <c r="A1450" s="1071"/>
      <c r="B1450" s="892"/>
      <c r="C1450" s="905"/>
      <c r="D1450" s="905"/>
      <c r="E1450" s="905"/>
      <c r="F1450" s="841"/>
      <c r="G1450" s="841"/>
      <c r="H1450" s="840">
        <f t="shared" si="44"/>
        <v>0</v>
      </c>
      <c r="I1450" s="840">
        <f t="shared" si="45"/>
        <v>0</v>
      </c>
    </row>
    <row r="1451" spans="1:9" s="302" customFormat="1" hidden="1">
      <c r="A1451" s="1071"/>
      <c r="B1451" s="892"/>
      <c r="C1451" s="905"/>
      <c r="D1451" s="905"/>
      <c r="E1451" s="905"/>
      <c r="F1451" s="841"/>
      <c r="G1451" s="841"/>
      <c r="H1451" s="840">
        <f t="shared" si="44"/>
        <v>0</v>
      </c>
      <c r="I1451" s="840">
        <f t="shared" si="45"/>
        <v>0</v>
      </c>
    </row>
    <row r="1452" spans="1:9" s="302" customFormat="1" hidden="1">
      <c r="A1452" s="1071"/>
      <c r="B1452" s="892"/>
      <c r="C1452" s="905"/>
      <c r="D1452" s="905"/>
      <c r="E1452" s="905"/>
      <c r="F1452" s="841"/>
      <c r="G1452" s="841"/>
      <c r="H1452" s="840">
        <f t="shared" si="44"/>
        <v>0</v>
      </c>
      <c r="I1452" s="840">
        <f t="shared" si="45"/>
        <v>0</v>
      </c>
    </row>
    <row r="1453" spans="1:9" s="302" customFormat="1" hidden="1">
      <c r="A1453" s="1071"/>
      <c r="B1453" s="892"/>
      <c r="C1453" s="905"/>
      <c r="D1453" s="905"/>
      <c r="E1453" s="905"/>
      <c r="F1453" s="841"/>
      <c r="G1453" s="841"/>
      <c r="H1453" s="840">
        <f t="shared" si="44"/>
        <v>0</v>
      </c>
      <c r="I1453" s="840">
        <f t="shared" si="45"/>
        <v>0</v>
      </c>
    </row>
    <row r="1454" spans="1:9" s="302" customFormat="1" ht="18" hidden="1" customHeight="1">
      <c r="A1454" s="1071"/>
      <c r="B1454" s="475"/>
      <c r="C1454" s="916"/>
      <c r="D1454" s="916"/>
      <c r="E1454" s="916"/>
      <c r="F1454" s="841"/>
      <c r="G1454" s="841"/>
      <c r="H1454" s="840">
        <f t="shared" si="44"/>
        <v>0</v>
      </c>
      <c r="I1454" s="840">
        <f t="shared" si="45"/>
        <v>0</v>
      </c>
    </row>
    <row r="1455" spans="1:9" s="302" customFormat="1" ht="18" hidden="1" customHeight="1">
      <c r="A1455" s="1071"/>
      <c r="B1455" s="864"/>
      <c r="C1455" s="917"/>
      <c r="D1455" s="917"/>
      <c r="E1455" s="917"/>
      <c r="F1455" s="841"/>
      <c r="G1455" s="841"/>
      <c r="H1455" s="840">
        <f t="shared" si="44"/>
        <v>0</v>
      </c>
      <c r="I1455" s="840">
        <f t="shared" si="45"/>
        <v>0</v>
      </c>
    </row>
    <row r="1456" spans="1:9">
      <c r="A1456" s="1081"/>
      <c r="B1456" s="461" t="s">
        <v>253</v>
      </c>
      <c r="C1456" s="919">
        <f>SUM(C1387:C1455)</f>
        <v>1241983</v>
      </c>
      <c r="D1456" s="919">
        <f>SUM(D1387:D1455)</f>
        <v>726405</v>
      </c>
      <c r="E1456" s="919">
        <f>SUM(E1387:E1455)</f>
        <v>515578</v>
      </c>
      <c r="F1456" s="850">
        <f>SUM(F1387:F1395)</f>
        <v>0</v>
      </c>
      <c r="G1456" s="851">
        <f>SUM(G1387:G1395)</f>
        <v>0</v>
      </c>
      <c r="H1456" s="840">
        <f t="shared" si="44"/>
        <v>0</v>
      </c>
      <c r="I1456" s="840">
        <f t="shared" si="45"/>
        <v>2483966</v>
      </c>
    </row>
    <row r="1457" spans="1:9" s="302" customFormat="1" ht="75">
      <c r="A1457" s="1071" t="s">
        <v>104</v>
      </c>
      <c r="B1457" s="887" t="s">
        <v>952</v>
      </c>
      <c r="C1457" s="932">
        <v>391600</v>
      </c>
      <c r="D1457" s="932">
        <v>391600</v>
      </c>
      <c r="E1457" s="932"/>
      <c r="F1457" s="854"/>
      <c r="G1457" s="854"/>
      <c r="H1457" s="840">
        <f t="shared" si="44"/>
        <v>0</v>
      </c>
      <c r="I1457" s="840">
        <f t="shared" si="45"/>
        <v>783200</v>
      </c>
    </row>
    <row r="1458" spans="1:9" s="302" customFormat="1" hidden="1">
      <c r="A1458" s="1071"/>
      <c r="B1458" s="475"/>
      <c r="C1458" s="916"/>
      <c r="D1458" s="916"/>
      <c r="E1458" s="912"/>
      <c r="F1458" s="841"/>
      <c r="G1458" s="841"/>
      <c r="H1458" s="840">
        <f t="shared" si="44"/>
        <v>0</v>
      </c>
      <c r="I1458" s="840">
        <f t="shared" si="45"/>
        <v>0</v>
      </c>
    </row>
    <row r="1459" spans="1:9" s="302" customFormat="1" hidden="1">
      <c r="A1459" s="1071"/>
      <c r="B1459" s="475"/>
      <c r="C1459" s="916"/>
      <c r="D1459" s="916"/>
      <c r="E1459" s="912"/>
      <c r="F1459" s="841"/>
      <c r="G1459" s="841"/>
      <c r="H1459" s="840">
        <f t="shared" si="44"/>
        <v>0</v>
      </c>
      <c r="I1459" s="840">
        <f t="shared" si="45"/>
        <v>0</v>
      </c>
    </row>
    <row r="1460" spans="1:9" s="302" customFormat="1" hidden="1">
      <c r="A1460" s="1071"/>
      <c r="B1460" s="475"/>
      <c r="C1460" s="916"/>
      <c r="D1460" s="916"/>
      <c r="E1460" s="912"/>
      <c r="F1460" s="841"/>
      <c r="G1460" s="841"/>
      <c r="H1460" s="840">
        <f t="shared" si="44"/>
        <v>0</v>
      </c>
      <c r="I1460" s="840">
        <f t="shared" si="45"/>
        <v>0</v>
      </c>
    </row>
    <row r="1461" spans="1:9" s="302" customFormat="1" hidden="1">
      <c r="A1461" s="1071"/>
      <c r="B1461" s="475"/>
      <c r="C1461" s="916"/>
      <c r="D1461" s="916"/>
      <c r="E1461" s="912"/>
      <c r="F1461" s="841"/>
      <c r="G1461" s="841"/>
      <c r="H1461" s="840">
        <f t="shared" si="44"/>
        <v>0</v>
      </c>
      <c r="I1461" s="840">
        <f t="shared" si="45"/>
        <v>0</v>
      </c>
    </row>
    <row r="1462" spans="1:9" s="302" customFormat="1" hidden="1">
      <c r="A1462" s="1071"/>
      <c r="B1462" s="475"/>
      <c r="C1462" s="916"/>
      <c r="D1462" s="916"/>
      <c r="E1462" s="912"/>
      <c r="F1462" s="841"/>
      <c r="G1462" s="841"/>
      <c r="H1462" s="840">
        <f t="shared" si="44"/>
        <v>0</v>
      </c>
      <c r="I1462" s="840">
        <f t="shared" si="45"/>
        <v>0</v>
      </c>
    </row>
    <row r="1463" spans="1:9" s="302" customFormat="1" hidden="1">
      <c r="A1463" s="1071"/>
      <c r="B1463" s="475"/>
      <c r="C1463" s="916"/>
      <c r="D1463" s="916"/>
      <c r="E1463" s="912"/>
      <c r="F1463" s="841"/>
      <c r="G1463" s="841"/>
      <c r="H1463" s="840">
        <f t="shared" si="44"/>
        <v>0</v>
      </c>
      <c r="I1463" s="840">
        <f t="shared" si="45"/>
        <v>0</v>
      </c>
    </row>
    <row r="1464" spans="1:9" s="302" customFormat="1" hidden="1">
      <c r="A1464" s="1071"/>
      <c r="B1464" s="475"/>
      <c r="C1464" s="916"/>
      <c r="D1464" s="916"/>
      <c r="E1464" s="912"/>
      <c r="F1464" s="841"/>
      <c r="G1464" s="841"/>
      <c r="H1464" s="840">
        <f t="shared" si="44"/>
        <v>0</v>
      </c>
      <c r="I1464" s="840">
        <f t="shared" si="45"/>
        <v>0</v>
      </c>
    </row>
    <row r="1465" spans="1:9" s="302" customFormat="1" hidden="1">
      <c r="A1465" s="1071"/>
      <c r="B1465" s="475"/>
      <c r="C1465" s="916"/>
      <c r="D1465" s="916"/>
      <c r="E1465" s="912"/>
      <c r="F1465" s="841"/>
      <c r="G1465" s="841"/>
      <c r="H1465" s="840">
        <f t="shared" si="44"/>
        <v>0</v>
      </c>
      <c r="I1465" s="840">
        <f t="shared" si="45"/>
        <v>0</v>
      </c>
    </row>
    <row r="1466" spans="1:9" s="302" customFormat="1" hidden="1">
      <c r="A1466" s="1071"/>
      <c r="B1466" s="475"/>
      <c r="C1466" s="916"/>
      <c r="D1466" s="916"/>
      <c r="E1466" s="912"/>
      <c r="F1466" s="841"/>
      <c r="G1466" s="841"/>
      <c r="H1466" s="840">
        <f t="shared" si="44"/>
        <v>0</v>
      </c>
      <c r="I1466" s="840">
        <f t="shared" si="45"/>
        <v>0</v>
      </c>
    </row>
    <row r="1467" spans="1:9" s="302" customFormat="1" hidden="1">
      <c r="A1467" s="1071"/>
      <c r="B1467" s="475"/>
      <c r="C1467" s="916"/>
      <c r="D1467" s="916"/>
      <c r="E1467" s="912"/>
      <c r="F1467" s="841"/>
      <c r="G1467" s="841"/>
      <c r="H1467" s="840">
        <f t="shared" si="44"/>
        <v>0</v>
      </c>
      <c r="I1467" s="840">
        <f t="shared" si="45"/>
        <v>0</v>
      </c>
    </row>
    <row r="1468" spans="1:9" s="302" customFormat="1" hidden="1">
      <c r="A1468" s="1071"/>
      <c r="B1468" s="475"/>
      <c r="C1468" s="916"/>
      <c r="D1468" s="916"/>
      <c r="E1468" s="912"/>
      <c r="F1468" s="841"/>
      <c r="G1468" s="841"/>
      <c r="H1468" s="840">
        <f t="shared" si="44"/>
        <v>0</v>
      </c>
      <c r="I1468" s="840">
        <f t="shared" si="45"/>
        <v>0</v>
      </c>
    </row>
    <row r="1469" spans="1:9" s="302" customFormat="1" hidden="1">
      <c r="A1469" s="1071"/>
      <c r="B1469" s="475"/>
      <c r="C1469" s="916"/>
      <c r="D1469" s="916"/>
      <c r="E1469" s="912"/>
      <c r="F1469" s="841"/>
      <c r="G1469" s="841"/>
      <c r="H1469" s="840">
        <f t="shared" si="44"/>
        <v>0</v>
      </c>
      <c r="I1469" s="840">
        <f t="shared" si="45"/>
        <v>0</v>
      </c>
    </row>
    <row r="1470" spans="1:9" s="302" customFormat="1" hidden="1">
      <c r="A1470" s="1071"/>
      <c r="B1470" s="475"/>
      <c r="C1470" s="916"/>
      <c r="D1470" s="916"/>
      <c r="E1470" s="912"/>
      <c r="F1470" s="841"/>
      <c r="G1470" s="841"/>
      <c r="H1470" s="840">
        <f t="shared" si="44"/>
        <v>0</v>
      </c>
      <c r="I1470" s="840">
        <f t="shared" si="45"/>
        <v>0</v>
      </c>
    </row>
    <row r="1471" spans="1:9" s="302" customFormat="1" hidden="1">
      <c r="A1471" s="1071"/>
      <c r="B1471" s="475"/>
      <c r="C1471" s="916"/>
      <c r="D1471" s="916"/>
      <c r="E1471" s="912"/>
      <c r="F1471" s="841"/>
      <c r="G1471" s="841"/>
      <c r="H1471" s="840">
        <f t="shared" si="44"/>
        <v>0</v>
      </c>
      <c r="I1471" s="840">
        <f t="shared" si="45"/>
        <v>0</v>
      </c>
    </row>
    <row r="1472" spans="1:9" s="302" customFormat="1" hidden="1">
      <c r="A1472" s="1071"/>
      <c r="B1472" s="475"/>
      <c r="C1472" s="916"/>
      <c r="D1472" s="916"/>
      <c r="E1472" s="912"/>
      <c r="F1472" s="841"/>
      <c r="G1472" s="841"/>
      <c r="H1472" s="840">
        <f t="shared" si="44"/>
        <v>0</v>
      </c>
      <c r="I1472" s="840">
        <f t="shared" si="45"/>
        <v>0</v>
      </c>
    </row>
    <row r="1473" spans="1:9" s="302" customFormat="1" hidden="1">
      <c r="A1473" s="1071"/>
      <c r="B1473" s="475"/>
      <c r="C1473" s="916"/>
      <c r="D1473" s="916"/>
      <c r="E1473" s="912"/>
      <c r="F1473" s="841"/>
      <c r="G1473" s="841"/>
      <c r="H1473" s="840">
        <f t="shared" si="44"/>
        <v>0</v>
      </c>
      <c r="I1473" s="840">
        <f t="shared" si="45"/>
        <v>0</v>
      </c>
    </row>
    <row r="1474" spans="1:9" s="302" customFormat="1" hidden="1">
      <c r="A1474" s="1071"/>
      <c r="B1474" s="475"/>
      <c r="C1474" s="916"/>
      <c r="D1474" s="916"/>
      <c r="E1474" s="912"/>
      <c r="F1474" s="841"/>
      <c r="G1474" s="841"/>
      <c r="H1474" s="840">
        <f t="shared" si="44"/>
        <v>0</v>
      </c>
      <c r="I1474" s="840">
        <f t="shared" si="45"/>
        <v>0</v>
      </c>
    </row>
    <row r="1475" spans="1:9" s="302" customFormat="1" hidden="1">
      <c r="A1475" s="1071"/>
      <c r="B1475" s="475"/>
      <c r="C1475" s="916"/>
      <c r="D1475" s="916"/>
      <c r="E1475" s="912"/>
      <c r="F1475" s="841"/>
      <c r="G1475" s="841"/>
      <c r="H1475" s="840">
        <f t="shared" si="44"/>
        <v>0</v>
      </c>
      <c r="I1475" s="840">
        <f t="shared" si="45"/>
        <v>0</v>
      </c>
    </row>
    <row r="1476" spans="1:9" s="302" customFormat="1" hidden="1">
      <c r="A1476" s="1071"/>
      <c r="B1476" s="475"/>
      <c r="C1476" s="916"/>
      <c r="D1476" s="916"/>
      <c r="E1476" s="912"/>
      <c r="F1476" s="841"/>
      <c r="G1476" s="841"/>
      <c r="H1476" s="840">
        <f t="shared" si="44"/>
        <v>0</v>
      </c>
      <c r="I1476" s="840">
        <f t="shared" si="45"/>
        <v>0</v>
      </c>
    </row>
    <row r="1477" spans="1:9" s="302" customFormat="1" hidden="1">
      <c r="A1477" s="1071"/>
      <c r="B1477" s="475"/>
      <c r="C1477" s="916"/>
      <c r="D1477" s="916"/>
      <c r="E1477" s="912"/>
      <c r="F1477" s="841"/>
      <c r="G1477" s="841"/>
      <c r="H1477" s="840">
        <f t="shared" si="44"/>
        <v>0</v>
      </c>
      <c r="I1477" s="840">
        <f t="shared" si="45"/>
        <v>0</v>
      </c>
    </row>
    <row r="1478" spans="1:9" s="302" customFormat="1" hidden="1">
      <c r="A1478" s="1071"/>
      <c r="B1478" s="475"/>
      <c r="C1478" s="916"/>
      <c r="D1478" s="916"/>
      <c r="E1478" s="912"/>
      <c r="F1478" s="841"/>
      <c r="G1478" s="841"/>
      <c r="H1478" s="840">
        <f t="shared" si="44"/>
        <v>0</v>
      </c>
      <c r="I1478" s="840">
        <f t="shared" si="45"/>
        <v>0</v>
      </c>
    </row>
    <row r="1479" spans="1:9" s="302" customFormat="1" hidden="1">
      <c r="A1479" s="1071"/>
      <c r="B1479" s="475"/>
      <c r="C1479" s="912"/>
      <c r="D1479" s="912"/>
      <c r="E1479" s="912"/>
      <c r="F1479" s="841"/>
      <c r="G1479" s="841"/>
      <c r="H1479" s="840">
        <f t="shared" si="44"/>
        <v>0</v>
      </c>
      <c r="I1479" s="840">
        <f t="shared" si="45"/>
        <v>0</v>
      </c>
    </row>
    <row r="1480" spans="1:9" s="302" customFormat="1" hidden="1">
      <c r="A1480" s="1071"/>
      <c r="B1480" s="475"/>
      <c r="C1480" s="912"/>
      <c r="D1480" s="912"/>
      <c r="E1480" s="912"/>
      <c r="F1480" s="841"/>
      <c r="G1480" s="841"/>
      <c r="H1480" s="840">
        <f t="shared" si="44"/>
        <v>0</v>
      </c>
      <c r="I1480" s="840">
        <f t="shared" si="45"/>
        <v>0</v>
      </c>
    </row>
    <row r="1481" spans="1:9" s="302" customFormat="1" hidden="1">
      <c r="A1481" s="1071"/>
      <c r="B1481" s="475"/>
      <c r="C1481" s="912"/>
      <c r="D1481" s="912"/>
      <c r="E1481" s="912"/>
      <c r="F1481" s="841"/>
      <c r="G1481" s="841"/>
      <c r="H1481" s="840">
        <f t="shared" ref="H1481:H1544" si="46">E1481+D1481-C1481</f>
        <v>0</v>
      </c>
      <c r="I1481" s="840">
        <f t="shared" ref="I1481:I1544" si="47">SUM(C1481:E1481)</f>
        <v>0</v>
      </c>
    </row>
    <row r="1482" spans="1:9" s="302" customFormat="1" hidden="1">
      <c r="A1482" s="1071"/>
      <c r="B1482" s="475"/>
      <c r="C1482" s="912"/>
      <c r="D1482" s="912"/>
      <c r="E1482" s="912"/>
      <c r="F1482" s="841"/>
      <c r="G1482" s="841"/>
      <c r="H1482" s="840">
        <f t="shared" si="46"/>
        <v>0</v>
      </c>
      <c r="I1482" s="840">
        <f t="shared" si="47"/>
        <v>0</v>
      </c>
    </row>
    <row r="1483" spans="1:9" s="302" customFormat="1" hidden="1">
      <c r="A1483" s="1071"/>
      <c r="B1483" s="475"/>
      <c r="C1483" s="912"/>
      <c r="D1483" s="912"/>
      <c r="E1483" s="912"/>
      <c r="F1483" s="841"/>
      <c r="G1483" s="841"/>
      <c r="H1483" s="840">
        <f t="shared" si="46"/>
        <v>0</v>
      </c>
      <c r="I1483" s="840">
        <f t="shared" si="47"/>
        <v>0</v>
      </c>
    </row>
    <row r="1484" spans="1:9" s="302" customFormat="1" hidden="1">
      <c r="A1484" s="1071"/>
      <c r="B1484" s="475"/>
      <c r="C1484" s="912"/>
      <c r="D1484" s="912"/>
      <c r="E1484" s="912"/>
      <c r="F1484" s="841"/>
      <c r="G1484" s="841"/>
      <c r="H1484" s="840">
        <f t="shared" si="46"/>
        <v>0</v>
      </c>
      <c r="I1484" s="840">
        <f t="shared" si="47"/>
        <v>0</v>
      </c>
    </row>
    <row r="1485" spans="1:9" s="302" customFormat="1" hidden="1">
      <c r="A1485" s="1071"/>
      <c r="B1485" s="475"/>
      <c r="C1485" s="912"/>
      <c r="D1485" s="912"/>
      <c r="E1485" s="912"/>
      <c r="F1485" s="841"/>
      <c r="G1485" s="841"/>
      <c r="H1485" s="840">
        <f t="shared" si="46"/>
        <v>0</v>
      </c>
      <c r="I1485" s="840">
        <f t="shared" si="47"/>
        <v>0</v>
      </c>
    </row>
    <row r="1486" spans="1:9" s="302" customFormat="1" hidden="1">
      <c r="A1486" s="1071"/>
      <c r="B1486" s="475"/>
      <c r="C1486" s="912"/>
      <c r="D1486" s="912"/>
      <c r="E1486" s="912"/>
      <c r="F1486" s="841"/>
      <c r="G1486" s="841"/>
      <c r="H1486" s="840">
        <f t="shared" si="46"/>
        <v>0</v>
      </c>
      <c r="I1486" s="840">
        <f t="shared" si="47"/>
        <v>0</v>
      </c>
    </row>
    <row r="1487" spans="1:9" s="302" customFormat="1" hidden="1">
      <c r="A1487" s="1071"/>
      <c r="B1487" s="475"/>
      <c r="C1487" s="912"/>
      <c r="D1487" s="912"/>
      <c r="E1487" s="912"/>
      <c r="F1487" s="841"/>
      <c r="G1487" s="841"/>
      <c r="H1487" s="840">
        <f t="shared" si="46"/>
        <v>0</v>
      </c>
      <c r="I1487" s="840">
        <f t="shared" si="47"/>
        <v>0</v>
      </c>
    </row>
    <row r="1488" spans="1:9" s="302" customFormat="1" hidden="1">
      <c r="A1488" s="1071"/>
      <c r="B1488" s="475"/>
      <c r="C1488" s="912"/>
      <c r="D1488" s="912"/>
      <c r="E1488" s="912"/>
      <c r="F1488" s="841"/>
      <c r="G1488" s="841"/>
      <c r="H1488" s="840">
        <f t="shared" si="46"/>
        <v>0</v>
      </c>
      <c r="I1488" s="840">
        <f t="shared" si="47"/>
        <v>0</v>
      </c>
    </row>
    <row r="1489" spans="1:9" s="302" customFormat="1" hidden="1">
      <c r="A1489" s="1071"/>
      <c r="B1489" s="475"/>
      <c r="C1489" s="912"/>
      <c r="D1489" s="912"/>
      <c r="E1489" s="912"/>
      <c r="F1489" s="841"/>
      <c r="G1489" s="841"/>
      <c r="H1489" s="840">
        <f t="shared" si="46"/>
        <v>0</v>
      </c>
      <c r="I1489" s="840">
        <f t="shared" si="47"/>
        <v>0</v>
      </c>
    </row>
    <row r="1490" spans="1:9" s="302" customFormat="1" hidden="1">
      <c r="A1490" s="1071"/>
      <c r="B1490" s="475"/>
      <c r="C1490" s="916"/>
      <c r="D1490" s="916"/>
      <c r="E1490" s="912"/>
      <c r="F1490" s="841"/>
      <c r="G1490" s="841"/>
      <c r="H1490" s="840">
        <f t="shared" si="46"/>
        <v>0</v>
      </c>
      <c r="I1490" s="840">
        <f t="shared" si="47"/>
        <v>0</v>
      </c>
    </row>
    <row r="1491" spans="1:9" s="302" customFormat="1" hidden="1">
      <c r="A1491" s="1071"/>
      <c r="B1491" s="475"/>
      <c r="C1491" s="916"/>
      <c r="D1491" s="916"/>
      <c r="E1491" s="912"/>
      <c r="F1491" s="841"/>
      <c r="G1491" s="841"/>
      <c r="H1491" s="840">
        <f t="shared" si="46"/>
        <v>0</v>
      </c>
      <c r="I1491" s="840">
        <f t="shared" si="47"/>
        <v>0</v>
      </c>
    </row>
    <row r="1492" spans="1:9" s="302" customFormat="1" hidden="1">
      <c r="A1492" s="1071"/>
      <c r="B1492" s="475"/>
      <c r="C1492" s="916"/>
      <c r="D1492" s="916"/>
      <c r="E1492" s="912"/>
      <c r="F1492" s="841"/>
      <c r="G1492" s="841"/>
      <c r="H1492" s="840">
        <f t="shared" si="46"/>
        <v>0</v>
      </c>
      <c r="I1492" s="840">
        <f t="shared" si="47"/>
        <v>0</v>
      </c>
    </row>
    <row r="1493" spans="1:9" s="302" customFormat="1" hidden="1">
      <c r="A1493" s="1071"/>
      <c r="B1493" s="475"/>
      <c r="C1493" s="916"/>
      <c r="D1493" s="916"/>
      <c r="E1493" s="912"/>
      <c r="F1493" s="841"/>
      <c r="G1493" s="841"/>
      <c r="H1493" s="840">
        <f t="shared" si="46"/>
        <v>0</v>
      </c>
      <c r="I1493" s="840">
        <f t="shared" si="47"/>
        <v>0</v>
      </c>
    </row>
    <row r="1494" spans="1:9" s="302" customFormat="1" hidden="1">
      <c r="A1494" s="1071"/>
      <c r="B1494" s="475"/>
      <c r="C1494" s="916"/>
      <c r="D1494" s="916"/>
      <c r="E1494" s="912"/>
      <c r="F1494" s="841"/>
      <c r="G1494" s="841"/>
      <c r="H1494" s="840">
        <f t="shared" si="46"/>
        <v>0</v>
      </c>
      <c r="I1494" s="840">
        <f t="shared" si="47"/>
        <v>0</v>
      </c>
    </row>
    <row r="1495" spans="1:9" s="302" customFormat="1" hidden="1">
      <c r="A1495" s="1071"/>
      <c r="B1495" s="475"/>
      <c r="C1495" s="916"/>
      <c r="D1495" s="916"/>
      <c r="E1495" s="905"/>
      <c r="F1495" s="841"/>
      <c r="G1495" s="841"/>
      <c r="H1495" s="840">
        <f t="shared" si="46"/>
        <v>0</v>
      </c>
      <c r="I1495" s="840">
        <f t="shared" si="47"/>
        <v>0</v>
      </c>
    </row>
    <row r="1496" spans="1:9" s="302" customFormat="1" hidden="1">
      <c r="A1496" s="1071"/>
      <c r="B1496" s="475"/>
      <c r="C1496" s="916"/>
      <c r="D1496" s="916"/>
      <c r="E1496" s="905"/>
      <c r="F1496" s="841"/>
      <c r="G1496" s="841"/>
      <c r="H1496" s="840">
        <f t="shared" si="46"/>
        <v>0</v>
      </c>
      <c r="I1496" s="840">
        <f t="shared" si="47"/>
        <v>0</v>
      </c>
    </row>
    <row r="1497" spans="1:9" s="302" customFormat="1" hidden="1">
      <c r="A1497" s="1071"/>
      <c r="B1497" s="475"/>
      <c r="C1497" s="916"/>
      <c r="D1497" s="916"/>
      <c r="E1497" s="905"/>
      <c r="F1497" s="841"/>
      <c r="G1497" s="841"/>
      <c r="H1497" s="840">
        <f t="shared" si="46"/>
        <v>0</v>
      </c>
      <c r="I1497" s="840">
        <f t="shared" si="47"/>
        <v>0</v>
      </c>
    </row>
    <row r="1498" spans="1:9" s="302" customFormat="1" hidden="1">
      <c r="A1498" s="1071"/>
      <c r="B1498" s="475"/>
      <c r="C1498" s="916"/>
      <c r="D1498" s="916"/>
      <c r="E1498" s="905"/>
      <c r="F1498" s="841"/>
      <c r="G1498" s="841"/>
      <c r="H1498" s="840">
        <f t="shared" si="46"/>
        <v>0</v>
      </c>
      <c r="I1498" s="840">
        <f t="shared" si="47"/>
        <v>0</v>
      </c>
    </row>
    <row r="1499" spans="1:9" s="302" customFormat="1" hidden="1">
      <c r="A1499" s="1071"/>
      <c r="B1499" s="475"/>
      <c r="C1499" s="916"/>
      <c r="D1499" s="916"/>
      <c r="E1499" s="905"/>
      <c r="F1499" s="841"/>
      <c r="G1499" s="841"/>
      <c r="H1499" s="840">
        <f t="shared" si="46"/>
        <v>0</v>
      </c>
      <c r="I1499" s="840">
        <f t="shared" si="47"/>
        <v>0</v>
      </c>
    </row>
    <row r="1500" spans="1:9" s="302" customFormat="1" hidden="1">
      <c r="A1500" s="1071"/>
      <c r="B1500" s="475"/>
      <c r="C1500" s="916"/>
      <c r="D1500" s="916"/>
      <c r="E1500" s="905"/>
      <c r="F1500" s="841"/>
      <c r="G1500" s="841"/>
      <c r="H1500" s="840">
        <f t="shared" si="46"/>
        <v>0</v>
      </c>
      <c r="I1500" s="840">
        <f t="shared" si="47"/>
        <v>0</v>
      </c>
    </row>
    <row r="1501" spans="1:9" s="302" customFormat="1" hidden="1">
      <c r="A1501" s="1071"/>
      <c r="B1501" s="475"/>
      <c r="C1501" s="916"/>
      <c r="D1501" s="916"/>
      <c r="E1501" s="905"/>
      <c r="F1501" s="841"/>
      <c r="G1501" s="841"/>
      <c r="H1501" s="840">
        <f t="shared" si="46"/>
        <v>0</v>
      </c>
      <c r="I1501" s="840">
        <f t="shared" si="47"/>
        <v>0</v>
      </c>
    </row>
    <row r="1502" spans="1:9" s="302" customFormat="1" hidden="1">
      <c r="A1502" s="1071"/>
      <c r="B1502" s="475"/>
      <c r="C1502" s="916"/>
      <c r="D1502" s="916"/>
      <c r="E1502" s="905"/>
      <c r="F1502" s="841"/>
      <c r="G1502" s="841"/>
      <c r="H1502" s="840">
        <f t="shared" si="46"/>
        <v>0</v>
      </c>
      <c r="I1502" s="840">
        <f t="shared" si="47"/>
        <v>0</v>
      </c>
    </row>
    <row r="1503" spans="1:9" s="302" customFormat="1" hidden="1">
      <c r="A1503" s="1071"/>
      <c r="B1503" s="475"/>
      <c r="C1503" s="916"/>
      <c r="D1503" s="916"/>
      <c r="E1503" s="905"/>
      <c r="F1503" s="841"/>
      <c r="G1503" s="841"/>
      <c r="H1503" s="840">
        <f t="shared" si="46"/>
        <v>0</v>
      </c>
      <c r="I1503" s="840">
        <f t="shared" si="47"/>
        <v>0</v>
      </c>
    </row>
    <row r="1504" spans="1:9" s="302" customFormat="1" hidden="1">
      <c r="A1504" s="1071"/>
      <c r="B1504" s="475"/>
      <c r="C1504" s="916"/>
      <c r="D1504" s="916"/>
      <c r="E1504" s="905"/>
      <c r="F1504" s="841"/>
      <c r="G1504" s="841"/>
      <c r="H1504" s="840">
        <f t="shared" si="46"/>
        <v>0</v>
      </c>
      <c r="I1504" s="840">
        <f t="shared" si="47"/>
        <v>0</v>
      </c>
    </row>
    <row r="1505" spans="1:9" s="302" customFormat="1" hidden="1">
      <c r="A1505" s="1071"/>
      <c r="B1505" s="887"/>
      <c r="C1505" s="916"/>
      <c r="D1505" s="916"/>
      <c r="E1505" s="907"/>
      <c r="F1505" s="841"/>
      <c r="G1505" s="841"/>
      <c r="H1505" s="840">
        <f t="shared" si="46"/>
        <v>0</v>
      </c>
      <c r="I1505" s="840">
        <f t="shared" si="47"/>
        <v>0</v>
      </c>
    </row>
    <row r="1506" spans="1:9" s="302" customFormat="1" hidden="1">
      <c r="A1506" s="1071"/>
      <c r="B1506" s="887"/>
      <c r="C1506" s="916"/>
      <c r="D1506" s="916"/>
      <c r="E1506" s="907"/>
      <c r="F1506" s="841"/>
      <c r="G1506" s="841"/>
      <c r="H1506" s="840">
        <f t="shared" si="46"/>
        <v>0</v>
      </c>
      <c r="I1506" s="840">
        <f t="shared" si="47"/>
        <v>0</v>
      </c>
    </row>
    <row r="1507" spans="1:9" s="302" customFormat="1" hidden="1">
      <c r="A1507" s="1071"/>
      <c r="B1507" s="887"/>
      <c r="C1507" s="916"/>
      <c r="D1507" s="916"/>
      <c r="E1507" s="907"/>
      <c r="F1507" s="841"/>
      <c r="G1507" s="841"/>
      <c r="H1507" s="840">
        <f t="shared" si="46"/>
        <v>0</v>
      </c>
      <c r="I1507" s="840">
        <f t="shared" si="47"/>
        <v>0</v>
      </c>
    </row>
    <row r="1508" spans="1:9" s="302" customFormat="1" hidden="1">
      <c r="A1508" s="1071"/>
      <c r="B1508" s="887"/>
      <c r="C1508" s="916"/>
      <c r="D1508" s="916"/>
      <c r="E1508" s="907"/>
      <c r="F1508" s="841"/>
      <c r="G1508" s="841"/>
      <c r="H1508" s="840">
        <f t="shared" si="46"/>
        <v>0</v>
      </c>
      <c r="I1508" s="840">
        <f t="shared" si="47"/>
        <v>0</v>
      </c>
    </row>
    <row r="1509" spans="1:9" s="302" customFormat="1" hidden="1">
      <c r="A1509" s="1071"/>
      <c r="B1509" s="887"/>
      <c r="C1509" s="916"/>
      <c r="D1509" s="916"/>
      <c r="E1509" s="907"/>
      <c r="F1509" s="841"/>
      <c r="G1509" s="841"/>
      <c r="H1509" s="840">
        <f t="shared" si="46"/>
        <v>0</v>
      </c>
      <c r="I1509" s="840">
        <f t="shared" si="47"/>
        <v>0</v>
      </c>
    </row>
    <row r="1510" spans="1:9" s="302" customFormat="1" hidden="1">
      <c r="A1510" s="1071"/>
      <c r="B1510" s="887"/>
      <c r="C1510" s="916"/>
      <c r="D1510" s="916"/>
      <c r="E1510" s="907"/>
      <c r="F1510" s="841"/>
      <c r="G1510" s="841"/>
      <c r="H1510" s="840">
        <f t="shared" si="46"/>
        <v>0</v>
      </c>
      <c r="I1510" s="840">
        <f t="shared" si="47"/>
        <v>0</v>
      </c>
    </row>
    <row r="1511" spans="1:9" s="302" customFormat="1" hidden="1">
      <c r="A1511" s="1071"/>
      <c r="B1511" s="887"/>
      <c r="C1511" s="916"/>
      <c r="D1511" s="916"/>
      <c r="E1511" s="907"/>
      <c r="F1511" s="841"/>
      <c r="G1511" s="841"/>
      <c r="H1511" s="840">
        <f t="shared" si="46"/>
        <v>0</v>
      </c>
      <c r="I1511" s="840">
        <f t="shared" si="47"/>
        <v>0</v>
      </c>
    </row>
    <row r="1512" spans="1:9" s="302" customFormat="1" hidden="1">
      <c r="A1512" s="1071"/>
      <c r="B1512" s="887"/>
      <c r="C1512" s="916"/>
      <c r="D1512" s="916"/>
      <c r="E1512" s="907"/>
      <c r="F1512" s="841"/>
      <c r="G1512" s="841"/>
      <c r="H1512" s="840">
        <f t="shared" si="46"/>
        <v>0</v>
      </c>
      <c r="I1512" s="840">
        <f t="shared" si="47"/>
        <v>0</v>
      </c>
    </row>
    <row r="1513" spans="1:9" s="302" customFormat="1" hidden="1">
      <c r="A1513" s="1071"/>
      <c r="B1513" s="887"/>
      <c r="C1513" s="916"/>
      <c r="D1513" s="916"/>
      <c r="E1513" s="907"/>
      <c r="F1513" s="841"/>
      <c r="G1513" s="841"/>
      <c r="H1513" s="840">
        <f t="shared" si="46"/>
        <v>0</v>
      </c>
      <c r="I1513" s="840">
        <f t="shared" si="47"/>
        <v>0</v>
      </c>
    </row>
    <row r="1514" spans="1:9" s="302" customFormat="1" hidden="1">
      <c r="A1514" s="1071"/>
      <c r="B1514" s="887"/>
      <c r="C1514" s="916"/>
      <c r="D1514" s="916"/>
      <c r="E1514" s="907"/>
      <c r="F1514" s="841"/>
      <c r="G1514" s="841"/>
      <c r="H1514" s="840">
        <f t="shared" si="46"/>
        <v>0</v>
      </c>
      <c r="I1514" s="840">
        <f t="shared" si="47"/>
        <v>0</v>
      </c>
    </row>
    <row r="1515" spans="1:9" s="302" customFormat="1" hidden="1">
      <c r="A1515" s="1071"/>
      <c r="B1515" s="887"/>
      <c r="C1515" s="916"/>
      <c r="D1515" s="916"/>
      <c r="E1515" s="907"/>
      <c r="F1515" s="841"/>
      <c r="G1515" s="841"/>
      <c r="H1515" s="840">
        <f t="shared" si="46"/>
        <v>0</v>
      </c>
      <c r="I1515" s="840">
        <f t="shared" si="47"/>
        <v>0</v>
      </c>
    </row>
    <row r="1516" spans="1:9" s="302" customFormat="1" hidden="1">
      <c r="A1516" s="1071"/>
      <c r="B1516" s="887"/>
      <c r="C1516" s="916"/>
      <c r="D1516" s="916"/>
      <c r="E1516" s="907"/>
      <c r="F1516" s="841"/>
      <c r="G1516" s="841"/>
      <c r="H1516" s="840">
        <f t="shared" si="46"/>
        <v>0</v>
      </c>
      <c r="I1516" s="840">
        <f t="shared" si="47"/>
        <v>0</v>
      </c>
    </row>
    <row r="1517" spans="1:9" s="302" customFormat="1" hidden="1">
      <c r="A1517" s="1071"/>
      <c r="B1517" s="887"/>
      <c r="C1517" s="916"/>
      <c r="D1517" s="916"/>
      <c r="E1517" s="907"/>
      <c r="F1517" s="841"/>
      <c r="G1517" s="841"/>
      <c r="H1517" s="840">
        <f t="shared" si="46"/>
        <v>0</v>
      </c>
      <c r="I1517" s="840">
        <f t="shared" si="47"/>
        <v>0</v>
      </c>
    </row>
    <row r="1518" spans="1:9" s="302" customFormat="1" hidden="1">
      <c r="A1518" s="1071"/>
      <c r="B1518" s="887"/>
      <c r="C1518" s="916"/>
      <c r="D1518" s="916"/>
      <c r="E1518" s="907"/>
      <c r="F1518" s="841"/>
      <c r="G1518" s="841"/>
      <c r="H1518" s="840">
        <f t="shared" si="46"/>
        <v>0</v>
      </c>
      <c r="I1518" s="840">
        <f t="shared" si="47"/>
        <v>0</v>
      </c>
    </row>
    <row r="1519" spans="1:9" s="302" customFormat="1" hidden="1">
      <c r="A1519" s="1071"/>
      <c r="B1519" s="887"/>
      <c r="C1519" s="916"/>
      <c r="D1519" s="916"/>
      <c r="E1519" s="907"/>
      <c r="F1519" s="841"/>
      <c r="G1519" s="841"/>
      <c r="H1519" s="840">
        <f t="shared" si="46"/>
        <v>0</v>
      </c>
      <c r="I1519" s="840">
        <f t="shared" si="47"/>
        <v>0</v>
      </c>
    </row>
    <row r="1520" spans="1:9" s="302" customFormat="1" hidden="1">
      <c r="A1520" s="1071"/>
      <c r="B1520" s="887"/>
      <c r="C1520" s="916"/>
      <c r="D1520" s="916"/>
      <c r="E1520" s="907"/>
      <c r="F1520" s="841"/>
      <c r="G1520" s="841"/>
      <c r="H1520" s="840">
        <f t="shared" si="46"/>
        <v>0</v>
      </c>
      <c r="I1520" s="840">
        <f t="shared" si="47"/>
        <v>0</v>
      </c>
    </row>
    <row r="1521" spans="1:9" s="302" customFormat="1" hidden="1">
      <c r="A1521" s="1071"/>
      <c r="B1521" s="887"/>
      <c r="C1521" s="916"/>
      <c r="D1521" s="916"/>
      <c r="E1521" s="907"/>
      <c r="F1521" s="841"/>
      <c r="G1521" s="841"/>
      <c r="H1521" s="840">
        <f t="shared" si="46"/>
        <v>0</v>
      </c>
      <c r="I1521" s="840">
        <f t="shared" si="47"/>
        <v>0</v>
      </c>
    </row>
    <row r="1522" spans="1:9" s="302" customFormat="1" hidden="1">
      <c r="A1522" s="1071"/>
      <c r="B1522" s="887"/>
      <c r="C1522" s="916"/>
      <c r="D1522" s="916"/>
      <c r="E1522" s="907"/>
      <c r="F1522" s="841"/>
      <c r="G1522" s="841"/>
      <c r="H1522" s="840">
        <f t="shared" si="46"/>
        <v>0</v>
      </c>
      <c r="I1522" s="840">
        <f t="shared" si="47"/>
        <v>0</v>
      </c>
    </row>
    <row r="1523" spans="1:9" s="302" customFormat="1" hidden="1">
      <c r="A1523" s="1071"/>
      <c r="B1523" s="887"/>
      <c r="C1523" s="916"/>
      <c r="D1523" s="916"/>
      <c r="E1523" s="907"/>
      <c r="F1523" s="841"/>
      <c r="G1523" s="841"/>
      <c r="H1523" s="840">
        <f t="shared" si="46"/>
        <v>0</v>
      </c>
      <c r="I1523" s="840">
        <f t="shared" si="47"/>
        <v>0</v>
      </c>
    </row>
    <row r="1524" spans="1:9" s="302" customFormat="1" hidden="1">
      <c r="A1524" s="1071"/>
      <c r="B1524" s="887"/>
      <c r="C1524" s="916"/>
      <c r="D1524" s="916"/>
      <c r="E1524" s="907"/>
      <c r="F1524" s="841"/>
      <c r="G1524" s="841"/>
      <c r="H1524" s="840">
        <f t="shared" si="46"/>
        <v>0</v>
      </c>
      <c r="I1524" s="840">
        <f t="shared" si="47"/>
        <v>0</v>
      </c>
    </row>
    <row r="1525" spans="1:9" s="302" customFormat="1" hidden="1">
      <c r="A1525" s="1071"/>
      <c r="B1525" s="887"/>
      <c r="C1525" s="916"/>
      <c r="D1525" s="916"/>
      <c r="E1525" s="907"/>
      <c r="F1525" s="841"/>
      <c r="G1525" s="841"/>
      <c r="H1525" s="840">
        <f t="shared" si="46"/>
        <v>0</v>
      </c>
      <c r="I1525" s="840">
        <f t="shared" si="47"/>
        <v>0</v>
      </c>
    </row>
    <row r="1526" spans="1:9" s="302" customFormat="1" hidden="1">
      <c r="A1526" s="1071"/>
      <c r="B1526" s="887"/>
      <c r="C1526" s="916"/>
      <c r="D1526" s="916"/>
      <c r="E1526" s="907"/>
      <c r="F1526" s="841"/>
      <c r="G1526" s="841"/>
      <c r="H1526" s="840">
        <f t="shared" si="46"/>
        <v>0</v>
      </c>
      <c r="I1526" s="840">
        <f t="shared" si="47"/>
        <v>0</v>
      </c>
    </row>
    <row r="1527" spans="1:9" s="302" customFormat="1" hidden="1">
      <c r="A1527" s="1071"/>
      <c r="B1527" s="887"/>
      <c r="C1527" s="916"/>
      <c r="D1527" s="916"/>
      <c r="E1527" s="907"/>
      <c r="F1527" s="841"/>
      <c r="G1527" s="841"/>
      <c r="H1527" s="840">
        <f t="shared" si="46"/>
        <v>0</v>
      </c>
      <c r="I1527" s="840">
        <f t="shared" si="47"/>
        <v>0</v>
      </c>
    </row>
    <row r="1528" spans="1:9" s="302" customFormat="1" hidden="1">
      <c r="A1528" s="1071"/>
      <c r="B1528" s="887"/>
      <c r="C1528" s="916"/>
      <c r="D1528" s="916"/>
      <c r="E1528" s="907"/>
      <c r="F1528" s="841"/>
      <c r="G1528" s="841"/>
      <c r="H1528" s="840">
        <f t="shared" si="46"/>
        <v>0</v>
      </c>
      <c r="I1528" s="840">
        <f t="shared" si="47"/>
        <v>0</v>
      </c>
    </row>
    <row r="1529" spans="1:9" s="302" customFormat="1" hidden="1">
      <c r="A1529" s="1071"/>
      <c r="B1529" s="887"/>
      <c r="C1529" s="916"/>
      <c r="D1529" s="916"/>
      <c r="E1529" s="907"/>
      <c r="F1529" s="841"/>
      <c r="G1529" s="841"/>
      <c r="H1529" s="840">
        <f t="shared" si="46"/>
        <v>0</v>
      </c>
      <c r="I1529" s="840">
        <f t="shared" si="47"/>
        <v>0</v>
      </c>
    </row>
    <row r="1530" spans="1:9" s="302" customFormat="1" hidden="1">
      <c r="A1530" s="1071"/>
      <c r="B1530" s="887"/>
      <c r="C1530" s="916"/>
      <c r="D1530" s="916"/>
      <c r="E1530" s="907"/>
      <c r="F1530" s="841"/>
      <c r="G1530" s="841"/>
      <c r="H1530" s="840">
        <f t="shared" si="46"/>
        <v>0</v>
      </c>
      <c r="I1530" s="840">
        <f t="shared" si="47"/>
        <v>0</v>
      </c>
    </row>
    <row r="1531" spans="1:9" s="302" customFormat="1" hidden="1">
      <c r="A1531" s="1071"/>
      <c r="B1531" s="887"/>
      <c r="C1531" s="916"/>
      <c r="D1531" s="916"/>
      <c r="E1531" s="907"/>
      <c r="F1531" s="841"/>
      <c r="G1531" s="841"/>
      <c r="H1531" s="840">
        <f t="shared" si="46"/>
        <v>0</v>
      </c>
      <c r="I1531" s="840">
        <f t="shared" si="47"/>
        <v>0</v>
      </c>
    </row>
    <row r="1532" spans="1:9" s="302" customFormat="1" hidden="1">
      <c r="A1532" s="1071"/>
      <c r="B1532" s="887"/>
      <c r="C1532" s="916"/>
      <c r="D1532" s="916"/>
      <c r="E1532" s="907"/>
      <c r="F1532" s="841"/>
      <c r="G1532" s="841"/>
      <c r="H1532" s="840">
        <f t="shared" si="46"/>
        <v>0</v>
      </c>
      <c r="I1532" s="840">
        <f t="shared" si="47"/>
        <v>0</v>
      </c>
    </row>
    <row r="1533" spans="1:9" s="302" customFormat="1" hidden="1">
      <c r="A1533" s="1071"/>
      <c r="B1533" s="475"/>
      <c r="C1533" s="916"/>
      <c r="D1533" s="916"/>
      <c r="E1533" s="905"/>
      <c r="F1533" s="841"/>
      <c r="G1533" s="841"/>
      <c r="H1533" s="840">
        <f t="shared" si="46"/>
        <v>0</v>
      </c>
      <c r="I1533" s="840">
        <f t="shared" si="47"/>
        <v>0</v>
      </c>
    </row>
    <row r="1534" spans="1:9" s="302" customFormat="1">
      <c r="A1534" s="1071"/>
      <c r="B1534" s="862" t="s">
        <v>253</v>
      </c>
      <c r="C1534" s="936">
        <f>SUM(C1457:C1533)</f>
        <v>391600</v>
      </c>
      <c r="D1534" s="936">
        <f>SUM(D1457:D1533)</f>
        <v>391600</v>
      </c>
      <c r="E1534" s="936">
        <f>SUM(E1457:E1533)</f>
        <v>0</v>
      </c>
      <c r="F1534" s="851">
        <f>SUM(F1457:F1478)</f>
        <v>0</v>
      </c>
      <c r="G1534" s="851">
        <f>SUM(G1457:G1478)</f>
        <v>0</v>
      </c>
      <c r="H1534" s="840">
        <f t="shared" si="46"/>
        <v>0</v>
      </c>
      <c r="I1534" s="840">
        <f t="shared" si="47"/>
        <v>783200</v>
      </c>
    </row>
    <row r="1535" spans="1:9" ht="75">
      <c r="A1535" s="1081" t="s">
        <v>399</v>
      </c>
      <c r="B1535" s="887" t="s">
        <v>952</v>
      </c>
      <c r="C1535" s="907">
        <v>269200</v>
      </c>
      <c r="D1535" s="530">
        <v>269200</v>
      </c>
      <c r="E1535" s="907"/>
      <c r="F1535" s="854"/>
      <c r="G1535" s="854"/>
      <c r="H1535" s="840">
        <f t="shared" si="46"/>
        <v>0</v>
      </c>
      <c r="I1535" s="840">
        <f t="shared" si="47"/>
        <v>538400</v>
      </c>
    </row>
    <row r="1536" spans="1:9" ht="112.5" hidden="1">
      <c r="A1536" s="1081"/>
      <c r="B1536" s="475" t="s">
        <v>953</v>
      </c>
      <c r="C1536" s="530">
        <f>150000-75000-75000</f>
        <v>0</v>
      </c>
      <c r="D1536" s="530"/>
      <c r="E1536" s="907">
        <f>150000-75000-75000</f>
        <v>0</v>
      </c>
      <c r="F1536" s="854"/>
      <c r="G1536" s="854"/>
      <c r="H1536" s="840">
        <f t="shared" si="46"/>
        <v>0</v>
      </c>
      <c r="I1536" s="840">
        <f t="shared" si="47"/>
        <v>0</v>
      </c>
    </row>
    <row r="1537" spans="1:9" ht="131.25">
      <c r="A1537" s="1081"/>
      <c r="B1537" s="475" t="s">
        <v>1312</v>
      </c>
      <c r="C1537" s="530">
        <v>100000</v>
      </c>
      <c r="D1537" s="530">
        <v>27000</v>
      </c>
      <c r="E1537" s="905">
        <v>73000</v>
      </c>
      <c r="F1537" s="854"/>
      <c r="G1537" s="854"/>
      <c r="H1537" s="840">
        <f t="shared" si="46"/>
        <v>0</v>
      </c>
      <c r="I1537" s="840">
        <f t="shared" si="47"/>
        <v>200000</v>
      </c>
    </row>
    <row r="1538" spans="1:9" ht="37.5">
      <c r="A1538" s="1081"/>
      <c r="B1538" s="475" t="s">
        <v>1900</v>
      </c>
      <c r="C1538" s="911">
        <v>120000</v>
      </c>
      <c r="D1538" s="911"/>
      <c r="E1538" s="911">
        <v>120000</v>
      </c>
      <c r="F1538" s="854"/>
      <c r="G1538" s="854"/>
      <c r="H1538" s="840">
        <f t="shared" si="46"/>
        <v>0</v>
      </c>
      <c r="I1538" s="840">
        <f t="shared" si="47"/>
        <v>240000</v>
      </c>
    </row>
    <row r="1539" spans="1:9" ht="56.25">
      <c r="A1539" s="1081"/>
      <c r="B1539" s="475" t="s">
        <v>950</v>
      </c>
      <c r="C1539" s="916">
        <v>180000</v>
      </c>
      <c r="D1539" s="916"/>
      <c r="E1539" s="905">
        <v>180000</v>
      </c>
      <c r="F1539" s="854"/>
      <c r="G1539" s="854"/>
      <c r="H1539" s="840">
        <f t="shared" si="46"/>
        <v>0</v>
      </c>
      <c r="I1539" s="840">
        <f t="shared" si="47"/>
        <v>360000</v>
      </c>
    </row>
    <row r="1540" spans="1:9" ht="75">
      <c r="A1540" s="1081"/>
      <c r="B1540" s="535" t="s">
        <v>3045</v>
      </c>
      <c r="C1540" s="908">
        <v>124605</v>
      </c>
      <c r="D1540" s="908">
        <v>124605</v>
      </c>
      <c r="E1540" s="905">
        <f>124605-124605</f>
        <v>0</v>
      </c>
      <c r="F1540" s="854"/>
      <c r="G1540" s="854"/>
      <c r="H1540" s="840">
        <f t="shared" si="46"/>
        <v>0</v>
      </c>
      <c r="I1540" s="840">
        <f t="shared" si="47"/>
        <v>249210</v>
      </c>
    </row>
    <row r="1541" spans="1:9" ht="56.25">
      <c r="A1541" s="1081"/>
      <c r="B1541" s="475" t="s">
        <v>2071</v>
      </c>
      <c r="C1541" s="908">
        <v>10000</v>
      </c>
      <c r="D1541" s="908">
        <v>10000</v>
      </c>
      <c r="E1541" s="905"/>
      <c r="F1541" s="854"/>
      <c r="G1541" s="854"/>
      <c r="H1541" s="840">
        <f t="shared" si="46"/>
        <v>0</v>
      </c>
      <c r="I1541" s="840">
        <f t="shared" si="47"/>
        <v>20000</v>
      </c>
    </row>
    <row r="1542" spans="1:9" ht="56.25">
      <c r="A1542" s="1081"/>
      <c r="B1542" s="535" t="s">
        <v>2072</v>
      </c>
      <c r="C1542" s="908">
        <v>10000</v>
      </c>
      <c r="D1542" s="908">
        <v>10000</v>
      </c>
      <c r="E1542" s="905"/>
      <c r="F1542" s="854"/>
      <c r="G1542" s="854"/>
      <c r="H1542" s="840">
        <f t="shared" si="46"/>
        <v>0</v>
      </c>
      <c r="I1542" s="840">
        <f t="shared" si="47"/>
        <v>20000</v>
      </c>
    </row>
    <row r="1543" spans="1:9" ht="56.25">
      <c r="A1543" s="1081"/>
      <c r="B1543" s="475" t="s">
        <v>2073</v>
      </c>
      <c r="C1543" s="908">
        <v>6000</v>
      </c>
      <c r="D1543" s="908">
        <v>6000</v>
      </c>
      <c r="E1543" s="905"/>
      <c r="F1543" s="854"/>
      <c r="G1543" s="854"/>
      <c r="H1543" s="840">
        <f t="shared" si="46"/>
        <v>0</v>
      </c>
      <c r="I1543" s="840">
        <f t="shared" si="47"/>
        <v>12000</v>
      </c>
    </row>
    <row r="1544" spans="1:9" ht="37.5">
      <c r="A1544" s="1081"/>
      <c r="B1544" s="535" t="s">
        <v>2074</v>
      </c>
      <c r="C1544" s="908">
        <v>25000</v>
      </c>
      <c r="D1544" s="908"/>
      <c r="E1544" s="905">
        <v>25000</v>
      </c>
      <c r="F1544" s="854"/>
      <c r="G1544" s="854"/>
      <c r="H1544" s="840">
        <f t="shared" si="46"/>
        <v>0</v>
      </c>
      <c r="I1544" s="840">
        <f t="shared" si="47"/>
        <v>50000</v>
      </c>
    </row>
    <row r="1545" spans="1:9" ht="37.5">
      <c r="A1545" s="1081"/>
      <c r="B1545" s="475" t="s">
        <v>2075</v>
      </c>
      <c r="C1545" s="908">
        <v>10000</v>
      </c>
      <c r="D1545" s="908"/>
      <c r="E1545" s="905">
        <v>10000</v>
      </c>
      <c r="F1545" s="854"/>
      <c r="G1545" s="854"/>
      <c r="H1545" s="840">
        <f t="shared" ref="H1545:H1608" si="48">E1545+D1545-C1545</f>
        <v>0</v>
      </c>
      <c r="I1545" s="840">
        <f t="shared" ref="I1545:I1608" si="49">SUM(C1545:E1545)</f>
        <v>20000</v>
      </c>
    </row>
    <row r="1546" spans="1:9" ht="37.5">
      <c r="A1546" s="1081"/>
      <c r="B1546" s="475" t="s">
        <v>2076</v>
      </c>
      <c r="C1546" s="908">
        <v>10000</v>
      </c>
      <c r="D1546" s="908"/>
      <c r="E1546" s="905">
        <v>10000</v>
      </c>
      <c r="F1546" s="854"/>
      <c r="G1546" s="854"/>
      <c r="H1546" s="840">
        <f t="shared" si="48"/>
        <v>0</v>
      </c>
      <c r="I1546" s="840">
        <f t="shared" si="49"/>
        <v>20000</v>
      </c>
    </row>
    <row r="1547" spans="1:9" ht="56.25">
      <c r="A1547" s="1081"/>
      <c r="B1547" s="535" t="s">
        <v>2786</v>
      </c>
      <c r="C1547" s="915">
        <v>27000</v>
      </c>
      <c r="D1547" s="915">
        <v>27000</v>
      </c>
      <c r="E1547" s="914"/>
      <c r="F1547" s="854"/>
      <c r="G1547" s="854"/>
      <c r="H1547" s="840">
        <f t="shared" si="48"/>
        <v>0</v>
      </c>
      <c r="I1547" s="840">
        <f t="shared" si="49"/>
        <v>54000</v>
      </c>
    </row>
    <row r="1548" spans="1:9" ht="37.5">
      <c r="A1548" s="1081"/>
      <c r="B1548" s="475" t="s">
        <v>2787</v>
      </c>
      <c r="C1548" s="915">
        <v>16000</v>
      </c>
      <c r="D1548" s="915"/>
      <c r="E1548" s="914">
        <v>16000</v>
      </c>
      <c r="F1548" s="854"/>
      <c r="G1548" s="854"/>
      <c r="H1548" s="840">
        <f t="shared" si="48"/>
        <v>0</v>
      </c>
      <c r="I1548" s="840">
        <f t="shared" si="49"/>
        <v>32000</v>
      </c>
    </row>
    <row r="1549" spans="1:9" ht="56.25">
      <c r="A1549" s="1081"/>
      <c r="B1549" s="475" t="s">
        <v>2788</v>
      </c>
      <c r="C1549" s="915">
        <v>8000</v>
      </c>
      <c r="D1549" s="915"/>
      <c r="E1549" s="914">
        <v>8000</v>
      </c>
      <c r="F1549" s="854"/>
      <c r="G1549" s="854"/>
      <c r="H1549" s="840">
        <f t="shared" si="48"/>
        <v>0</v>
      </c>
      <c r="I1549" s="840">
        <f t="shared" si="49"/>
        <v>16000</v>
      </c>
    </row>
    <row r="1550" spans="1:9" ht="37.5">
      <c r="A1550" s="1081"/>
      <c r="B1550" s="475" t="s">
        <v>2789</v>
      </c>
      <c r="C1550" s="915">
        <v>20000</v>
      </c>
      <c r="D1550" s="915">
        <v>20000</v>
      </c>
      <c r="E1550" s="914"/>
      <c r="F1550" s="854"/>
      <c r="G1550" s="854"/>
      <c r="H1550" s="840">
        <f t="shared" si="48"/>
        <v>0</v>
      </c>
      <c r="I1550" s="840">
        <f t="shared" si="49"/>
        <v>40000</v>
      </c>
    </row>
    <row r="1551" spans="1:9" ht="37.5">
      <c r="A1551" s="1081"/>
      <c r="B1551" s="475" t="s">
        <v>2790</v>
      </c>
      <c r="C1551" s="908">
        <v>13000</v>
      </c>
      <c r="D1551" s="908">
        <v>13000</v>
      </c>
      <c r="E1551" s="905"/>
      <c r="F1551" s="854"/>
      <c r="G1551" s="854"/>
      <c r="H1551" s="840">
        <f t="shared" si="48"/>
        <v>0</v>
      </c>
      <c r="I1551" s="840">
        <f t="shared" si="49"/>
        <v>26000</v>
      </c>
    </row>
    <row r="1552" spans="1:9" ht="112.5">
      <c r="A1552" s="1081"/>
      <c r="B1552" s="475" t="s">
        <v>3198</v>
      </c>
      <c r="C1552" s="908">
        <v>60000</v>
      </c>
      <c r="D1552" s="908"/>
      <c r="E1552" s="905">
        <v>60000</v>
      </c>
      <c r="F1552" s="854"/>
      <c r="G1552" s="854"/>
      <c r="H1552" s="840">
        <f t="shared" si="48"/>
        <v>0</v>
      </c>
      <c r="I1552" s="840">
        <f t="shared" si="49"/>
        <v>120000</v>
      </c>
    </row>
    <row r="1553" spans="1:9" ht="56.25">
      <c r="A1553" s="1081"/>
      <c r="B1553" s="475" t="s">
        <v>2791</v>
      </c>
      <c r="C1553" s="908">
        <v>10000</v>
      </c>
      <c r="D1553" s="908"/>
      <c r="E1553" s="905">
        <v>10000</v>
      </c>
      <c r="F1553" s="854"/>
      <c r="G1553" s="854"/>
      <c r="H1553" s="840">
        <f t="shared" si="48"/>
        <v>0</v>
      </c>
      <c r="I1553" s="840">
        <f t="shared" si="49"/>
        <v>20000</v>
      </c>
    </row>
    <row r="1554" spans="1:9" ht="168.75">
      <c r="A1554" s="1081"/>
      <c r="B1554" s="475" t="s">
        <v>2792</v>
      </c>
      <c r="C1554" s="908">
        <v>46441</v>
      </c>
      <c r="D1554" s="908">
        <v>46441</v>
      </c>
      <c r="E1554" s="905"/>
      <c r="F1554" s="854"/>
      <c r="G1554" s="854"/>
      <c r="H1554" s="840">
        <f t="shared" si="48"/>
        <v>0</v>
      </c>
      <c r="I1554" s="840">
        <f t="shared" si="49"/>
        <v>92882</v>
      </c>
    </row>
    <row r="1555" spans="1:9" hidden="1">
      <c r="A1555" s="1081"/>
      <c r="B1555" s="451"/>
      <c r="C1555" s="905"/>
      <c r="D1555" s="905"/>
      <c r="E1555" s="905"/>
      <c r="F1555" s="854"/>
      <c r="G1555" s="854"/>
      <c r="H1555" s="840">
        <f t="shared" si="48"/>
        <v>0</v>
      </c>
      <c r="I1555" s="840">
        <f t="shared" si="49"/>
        <v>0</v>
      </c>
    </row>
    <row r="1556" spans="1:9" hidden="1">
      <c r="A1556" s="1081"/>
      <c r="B1556" s="451"/>
      <c r="C1556" s="907"/>
      <c r="D1556" s="916"/>
      <c r="E1556" s="907"/>
      <c r="F1556" s="854"/>
      <c r="G1556" s="854"/>
      <c r="H1556" s="840">
        <f t="shared" si="48"/>
        <v>0</v>
      </c>
      <c r="I1556" s="840">
        <f t="shared" si="49"/>
        <v>0</v>
      </c>
    </row>
    <row r="1557" spans="1:9" s="302" customFormat="1" hidden="1">
      <c r="A1557" s="1068"/>
      <c r="B1557" s="475"/>
      <c r="C1557" s="916"/>
      <c r="D1557" s="916"/>
      <c r="E1557" s="905"/>
      <c r="F1557" s="854"/>
      <c r="G1557" s="854"/>
      <c r="H1557" s="840">
        <f t="shared" si="48"/>
        <v>0</v>
      </c>
      <c r="I1557" s="840">
        <f t="shared" si="49"/>
        <v>0</v>
      </c>
    </row>
    <row r="1558" spans="1:9" s="302" customFormat="1" hidden="1">
      <c r="A1558" s="1068"/>
      <c r="B1558" s="475"/>
      <c r="C1558" s="916"/>
      <c r="D1558" s="916"/>
      <c r="E1558" s="905"/>
      <c r="F1558" s="854"/>
      <c r="G1558" s="854"/>
      <c r="H1558" s="840">
        <f t="shared" si="48"/>
        <v>0</v>
      </c>
      <c r="I1558" s="840">
        <f t="shared" si="49"/>
        <v>0</v>
      </c>
    </row>
    <row r="1559" spans="1:9" s="302" customFormat="1" hidden="1">
      <c r="A1559" s="1068"/>
      <c r="B1559" s="475"/>
      <c r="C1559" s="916"/>
      <c r="D1559" s="916"/>
      <c r="E1559" s="905"/>
      <c r="F1559" s="854"/>
      <c r="G1559" s="854"/>
      <c r="H1559" s="840">
        <f t="shared" si="48"/>
        <v>0</v>
      </c>
      <c r="I1559" s="840">
        <f t="shared" si="49"/>
        <v>0</v>
      </c>
    </row>
    <row r="1560" spans="1:9" s="302" customFormat="1" hidden="1">
      <c r="A1560" s="1068"/>
      <c r="B1560" s="475"/>
      <c r="C1560" s="916"/>
      <c r="D1560" s="916"/>
      <c r="E1560" s="905"/>
      <c r="F1560" s="854"/>
      <c r="G1560" s="854"/>
      <c r="H1560" s="840">
        <f t="shared" si="48"/>
        <v>0</v>
      </c>
      <c r="I1560" s="840">
        <f t="shared" si="49"/>
        <v>0</v>
      </c>
    </row>
    <row r="1561" spans="1:9" s="302" customFormat="1" hidden="1">
      <c r="A1561" s="1068"/>
      <c r="B1561" s="475"/>
      <c r="C1561" s="916"/>
      <c r="D1561" s="916"/>
      <c r="E1561" s="905"/>
      <c r="F1561" s="854"/>
      <c r="G1561" s="854"/>
      <c r="H1561" s="840">
        <f t="shared" si="48"/>
        <v>0</v>
      </c>
      <c r="I1561" s="840">
        <f t="shared" si="49"/>
        <v>0</v>
      </c>
    </row>
    <row r="1562" spans="1:9" s="302" customFormat="1" hidden="1">
      <c r="A1562" s="1068"/>
      <c r="B1562" s="475"/>
      <c r="C1562" s="916"/>
      <c r="D1562" s="916"/>
      <c r="E1562" s="905"/>
      <c r="F1562" s="854"/>
      <c r="G1562" s="854"/>
      <c r="H1562" s="840">
        <f t="shared" si="48"/>
        <v>0</v>
      </c>
      <c r="I1562" s="840">
        <f t="shared" si="49"/>
        <v>0</v>
      </c>
    </row>
    <row r="1563" spans="1:9" s="302" customFormat="1" hidden="1">
      <c r="A1563" s="1068"/>
      <c r="B1563" s="475"/>
      <c r="C1563" s="916"/>
      <c r="D1563" s="916"/>
      <c r="E1563" s="905"/>
      <c r="F1563" s="854"/>
      <c r="G1563" s="854"/>
      <c r="H1563" s="840">
        <f t="shared" si="48"/>
        <v>0</v>
      </c>
      <c r="I1563" s="840">
        <f t="shared" si="49"/>
        <v>0</v>
      </c>
    </row>
    <row r="1564" spans="1:9" s="302" customFormat="1" hidden="1">
      <c r="A1564" s="1068"/>
      <c r="B1564" s="475"/>
      <c r="C1564" s="916"/>
      <c r="D1564" s="916"/>
      <c r="E1564" s="905"/>
      <c r="F1564" s="854"/>
      <c r="G1564" s="854"/>
      <c r="H1564" s="840">
        <f t="shared" si="48"/>
        <v>0</v>
      </c>
      <c r="I1564" s="840">
        <f t="shared" si="49"/>
        <v>0</v>
      </c>
    </row>
    <row r="1565" spans="1:9" s="302" customFormat="1" hidden="1">
      <c r="A1565" s="1068"/>
      <c r="B1565" s="475"/>
      <c r="C1565" s="916"/>
      <c r="D1565" s="916"/>
      <c r="E1565" s="905"/>
      <c r="F1565" s="854"/>
      <c r="G1565" s="854"/>
      <c r="H1565" s="840">
        <f t="shared" si="48"/>
        <v>0</v>
      </c>
      <c r="I1565" s="840">
        <f t="shared" si="49"/>
        <v>0</v>
      </c>
    </row>
    <row r="1566" spans="1:9" s="302" customFormat="1" hidden="1">
      <c r="A1566" s="1068"/>
      <c r="B1566" s="475"/>
      <c r="C1566" s="916"/>
      <c r="D1566" s="916"/>
      <c r="E1566" s="905"/>
      <c r="F1566" s="854"/>
      <c r="G1566" s="854"/>
      <c r="H1566" s="840">
        <f t="shared" si="48"/>
        <v>0</v>
      </c>
      <c r="I1566" s="840">
        <f t="shared" si="49"/>
        <v>0</v>
      </c>
    </row>
    <row r="1567" spans="1:9" s="302" customFormat="1" hidden="1">
      <c r="A1567" s="1068"/>
      <c r="B1567" s="475"/>
      <c r="C1567" s="916"/>
      <c r="D1567" s="916"/>
      <c r="E1567" s="905"/>
      <c r="F1567" s="854"/>
      <c r="G1567" s="854"/>
      <c r="H1567" s="840">
        <f t="shared" si="48"/>
        <v>0</v>
      </c>
      <c r="I1567" s="840">
        <f t="shared" si="49"/>
        <v>0</v>
      </c>
    </row>
    <row r="1568" spans="1:9" s="302" customFormat="1" hidden="1">
      <c r="A1568" s="1068"/>
      <c r="B1568" s="475"/>
      <c r="C1568" s="916"/>
      <c r="D1568" s="916"/>
      <c r="E1568" s="905"/>
      <c r="F1568" s="854"/>
      <c r="G1568" s="854"/>
      <c r="H1568" s="840">
        <f t="shared" si="48"/>
        <v>0</v>
      </c>
      <c r="I1568" s="840">
        <f t="shared" si="49"/>
        <v>0</v>
      </c>
    </row>
    <row r="1569" spans="1:9" s="302" customFormat="1" hidden="1">
      <c r="A1569" s="1068"/>
      <c r="B1569" s="475"/>
      <c r="C1569" s="916"/>
      <c r="D1569" s="916"/>
      <c r="E1569" s="905"/>
      <c r="F1569" s="854"/>
      <c r="G1569" s="854"/>
      <c r="H1569" s="840">
        <f t="shared" si="48"/>
        <v>0</v>
      </c>
      <c r="I1569" s="840">
        <f t="shared" si="49"/>
        <v>0</v>
      </c>
    </row>
    <row r="1570" spans="1:9" s="302" customFormat="1" hidden="1">
      <c r="A1570" s="1068"/>
      <c r="B1570" s="475"/>
      <c r="C1570" s="916"/>
      <c r="D1570" s="916"/>
      <c r="E1570" s="905"/>
      <c r="F1570" s="854"/>
      <c r="G1570" s="854"/>
      <c r="H1570" s="840">
        <f t="shared" si="48"/>
        <v>0</v>
      </c>
      <c r="I1570" s="840">
        <f t="shared" si="49"/>
        <v>0</v>
      </c>
    </row>
    <row r="1571" spans="1:9" s="302" customFormat="1" hidden="1">
      <c r="A1571" s="1068"/>
      <c r="B1571" s="475"/>
      <c r="C1571" s="916"/>
      <c r="D1571" s="916"/>
      <c r="E1571" s="905"/>
      <c r="F1571" s="854"/>
      <c r="G1571" s="854"/>
      <c r="H1571" s="840">
        <f t="shared" si="48"/>
        <v>0</v>
      </c>
      <c r="I1571" s="840">
        <f t="shared" si="49"/>
        <v>0</v>
      </c>
    </row>
    <row r="1572" spans="1:9" s="302" customFormat="1" hidden="1">
      <c r="A1572" s="1068"/>
      <c r="B1572" s="475"/>
      <c r="C1572" s="916"/>
      <c r="D1572" s="916"/>
      <c r="E1572" s="905"/>
      <c r="F1572" s="854"/>
      <c r="G1572" s="854"/>
      <c r="H1572" s="840">
        <f t="shared" si="48"/>
        <v>0</v>
      </c>
      <c r="I1572" s="840">
        <f t="shared" si="49"/>
        <v>0</v>
      </c>
    </row>
    <row r="1573" spans="1:9" s="302" customFormat="1" hidden="1">
      <c r="A1573" s="1068"/>
      <c r="B1573" s="475"/>
      <c r="C1573" s="916"/>
      <c r="D1573" s="916"/>
      <c r="E1573" s="905"/>
      <c r="F1573" s="854"/>
      <c r="G1573" s="854"/>
      <c r="H1573" s="840">
        <f t="shared" si="48"/>
        <v>0</v>
      </c>
      <c r="I1573" s="840">
        <f t="shared" si="49"/>
        <v>0</v>
      </c>
    </row>
    <row r="1574" spans="1:9" s="302" customFormat="1" hidden="1">
      <c r="A1574" s="1068"/>
      <c r="B1574" s="475"/>
      <c r="C1574" s="905"/>
      <c r="D1574" s="905"/>
      <c r="E1574" s="905"/>
      <c r="F1574" s="854"/>
      <c r="G1574" s="854"/>
      <c r="H1574" s="840">
        <f t="shared" si="48"/>
        <v>0</v>
      </c>
      <c r="I1574" s="840">
        <f t="shared" si="49"/>
        <v>0</v>
      </c>
    </row>
    <row r="1575" spans="1:9" s="302" customFormat="1" hidden="1">
      <c r="A1575" s="1068"/>
      <c r="B1575" s="475"/>
      <c r="C1575" s="905"/>
      <c r="D1575" s="905"/>
      <c r="E1575" s="905"/>
      <c r="F1575" s="854"/>
      <c r="G1575" s="854"/>
      <c r="H1575" s="840">
        <f t="shared" si="48"/>
        <v>0</v>
      </c>
      <c r="I1575" s="840">
        <f t="shared" si="49"/>
        <v>0</v>
      </c>
    </row>
    <row r="1576" spans="1:9" s="302" customFormat="1" hidden="1">
      <c r="A1576" s="1068"/>
      <c r="B1576" s="475"/>
      <c r="C1576" s="905"/>
      <c r="D1576" s="905"/>
      <c r="E1576" s="905"/>
      <c r="F1576" s="854"/>
      <c r="G1576" s="854"/>
      <c r="H1576" s="840">
        <f t="shared" si="48"/>
        <v>0</v>
      </c>
      <c r="I1576" s="840">
        <f t="shared" si="49"/>
        <v>0</v>
      </c>
    </row>
    <row r="1577" spans="1:9" s="302" customFormat="1" hidden="1">
      <c r="A1577" s="1071"/>
      <c r="B1577" s="894"/>
      <c r="C1577" s="922"/>
      <c r="D1577" s="922"/>
      <c r="E1577" s="926"/>
      <c r="F1577" s="854"/>
      <c r="G1577" s="854"/>
      <c r="H1577" s="840">
        <f t="shared" si="48"/>
        <v>0</v>
      </c>
      <c r="I1577" s="840">
        <f t="shared" si="49"/>
        <v>0</v>
      </c>
    </row>
    <row r="1578" spans="1:9" s="302" customFormat="1" hidden="1">
      <c r="A1578" s="1071"/>
      <c r="B1578" s="475"/>
      <c r="C1578" s="916"/>
      <c r="D1578" s="916"/>
      <c r="E1578" s="905"/>
      <c r="F1578" s="854"/>
      <c r="G1578" s="854"/>
      <c r="H1578" s="840">
        <f t="shared" si="48"/>
        <v>0</v>
      </c>
      <c r="I1578" s="840">
        <f t="shared" si="49"/>
        <v>0</v>
      </c>
    </row>
    <row r="1579" spans="1:9" s="302" customFormat="1" hidden="1">
      <c r="A1579" s="1071"/>
      <c r="B1579" s="475"/>
      <c r="C1579" s="916"/>
      <c r="D1579" s="916"/>
      <c r="E1579" s="905"/>
      <c r="F1579" s="854"/>
      <c r="G1579" s="854"/>
      <c r="H1579" s="840">
        <f t="shared" si="48"/>
        <v>0</v>
      </c>
      <c r="I1579" s="840">
        <f t="shared" si="49"/>
        <v>0</v>
      </c>
    </row>
    <row r="1580" spans="1:9" s="302" customFormat="1" ht="18" hidden="1" customHeight="1">
      <c r="A1580" s="1071"/>
      <c r="B1580" s="475"/>
      <c r="C1580" s="916"/>
      <c r="D1580" s="916"/>
      <c r="E1580" s="916"/>
      <c r="F1580" s="854"/>
      <c r="G1580" s="854"/>
      <c r="H1580" s="840">
        <f t="shared" si="48"/>
        <v>0</v>
      </c>
      <c r="I1580" s="840">
        <f t="shared" si="49"/>
        <v>0</v>
      </c>
    </row>
    <row r="1581" spans="1:9" s="302" customFormat="1" ht="18" hidden="1" customHeight="1">
      <c r="A1581" s="1071"/>
      <c r="B1581" s="475"/>
      <c r="C1581" s="916"/>
      <c r="D1581" s="916"/>
      <c r="E1581" s="916"/>
      <c r="F1581" s="854"/>
      <c r="G1581" s="854"/>
      <c r="H1581" s="840">
        <f t="shared" si="48"/>
        <v>0</v>
      </c>
      <c r="I1581" s="840">
        <f t="shared" si="49"/>
        <v>0</v>
      </c>
    </row>
    <row r="1582" spans="1:9" s="302" customFormat="1" ht="18" hidden="1" customHeight="1">
      <c r="A1582" s="1071"/>
      <c r="B1582" s="864"/>
      <c r="C1582" s="917"/>
      <c r="D1582" s="917"/>
      <c r="E1582" s="917"/>
      <c r="F1582" s="854"/>
      <c r="G1582" s="854"/>
      <c r="H1582" s="840">
        <f t="shared" si="48"/>
        <v>0</v>
      </c>
      <c r="I1582" s="840">
        <f t="shared" si="49"/>
        <v>0</v>
      </c>
    </row>
    <row r="1583" spans="1:9">
      <c r="A1583" s="1081"/>
      <c r="B1583" s="461" t="s">
        <v>253</v>
      </c>
      <c r="C1583" s="919">
        <f>SUM(C1535:C1582)</f>
        <v>1065246</v>
      </c>
      <c r="D1583" s="919">
        <f>SUM(D1535:D1582)</f>
        <v>553246</v>
      </c>
      <c r="E1583" s="919">
        <f>SUM(E1535:E1582)</f>
        <v>512000</v>
      </c>
      <c r="F1583" s="850">
        <f>SUM(F1535:F1539)</f>
        <v>0</v>
      </c>
      <c r="G1583" s="851">
        <f>SUM(G1535:G1539)</f>
        <v>0</v>
      </c>
      <c r="H1583" s="840">
        <f t="shared" si="48"/>
        <v>0</v>
      </c>
      <c r="I1583" s="840">
        <f t="shared" si="49"/>
        <v>2130492</v>
      </c>
    </row>
    <row r="1584" spans="1:9" ht="75">
      <c r="A1584" s="1081" t="s">
        <v>454</v>
      </c>
      <c r="B1584" s="887" t="s">
        <v>952</v>
      </c>
      <c r="C1584" s="907">
        <v>2751900</v>
      </c>
      <c r="D1584" s="530">
        <v>2751900</v>
      </c>
      <c r="E1584" s="907"/>
      <c r="F1584" s="854"/>
      <c r="G1584" s="854"/>
      <c r="H1584" s="840">
        <f t="shared" si="48"/>
        <v>0</v>
      </c>
      <c r="I1584" s="840">
        <f t="shared" si="49"/>
        <v>5503800</v>
      </c>
    </row>
    <row r="1585" spans="1:9" ht="112.5">
      <c r="A1585" s="1081"/>
      <c r="B1585" s="475" t="s">
        <v>953</v>
      </c>
      <c r="C1585" s="530">
        <f>80000-28530</f>
        <v>51470</v>
      </c>
      <c r="D1585" s="530"/>
      <c r="E1585" s="905">
        <f>80000-28530</f>
        <v>51470</v>
      </c>
      <c r="F1585" s="854"/>
      <c r="G1585" s="854"/>
      <c r="H1585" s="840">
        <f t="shared" si="48"/>
        <v>0</v>
      </c>
      <c r="I1585" s="840">
        <f t="shared" si="49"/>
        <v>102940</v>
      </c>
    </row>
    <row r="1586" spans="1:9" ht="56.25">
      <c r="A1586" s="1081"/>
      <c r="B1586" s="475" t="s">
        <v>3194</v>
      </c>
      <c r="C1586" s="530">
        <v>10000</v>
      </c>
      <c r="D1586" s="530"/>
      <c r="E1586" s="905">
        <v>10000</v>
      </c>
      <c r="F1586" s="841"/>
      <c r="G1586" s="841"/>
      <c r="H1586" s="840">
        <f t="shared" si="48"/>
        <v>0</v>
      </c>
      <c r="I1586" s="840">
        <f t="shared" si="49"/>
        <v>20000</v>
      </c>
    </row>
    <row r="1587" spans="1:9" ht="56.25">
      <c r="A1587" s="1081"/>
      <c r="B1587" s="475" t="s">
        <v>1313</v>
      </c>
      <c r="C1587" s="530">
        <v>5278</v>
      </c>
      <c r="D1587" s="530">
        <v>5278</v>
      </c>
      <c r="E1587" s="905"/>
      <c r="F1587" s="841"/>
      <c r="G1587" s="841"/>
      <c r="H1587" s="840">
        <f t="shared" si="48"/>
        <v>0</v>
      </c>
      <c r="I1587" s="840">
        <f t="shared" si="49"/>
        <v>10556</v>
      </c>
    </row>
    <row r="1588" spans="1:9" ht="37.5">
      <c r="A1588" s="1081"/>
      <c r="B1588" s="475" t="s">
        <v>1314</v>
      </c>
      <c r="C1588" s="530">
        <v>2000</v>
      </c>
      <c r="D1588" s="530">
        <v>2000</v>
      </c>
      <c r="E1588" s="905"/>
      <c r="F1588" s="841"/>
      <c r="G1588" s="841"/>
      <c r="H1588" s="840">
        <f t="shared" si="48"/>
        <v>0</v>
      </c>
      <c r="I1588" s="840">
        <f t="shared" si="49"/>
        <v>4000</v>
      </c>
    </row>
    <row r="1589" spans="1:9" ht="75">
      <c r="A1589" s="1081"/>
      <c r="B1589" s="475" t="s">
        <v>2077</v>
      </c>
      <c r="C1589" s="908">
        <v>40000</v>
      </c>
      <c r="D1589" s="908"/>
      <c r="E1589" s="905">
        <v>40000</v>
      </c>
      <c r="F1589" s="841"/>
      <c r="G1589" s="841"/>
      <c r="H1589" s="840">
        <f t="shared" si="48"/>
        <v>0</v>
      </c>
      <c r="I1589" s="840">
        <f t="shared" si="49"/>
        <v>80000</v>
      </c>
    </row>
    <row r="1590" spans="1:9" ht="93.75">
      <c r="A1590" s="1081"/>
      <c r="B1590" s="475" t="s">
        <v>2078</v>
      </c>
      <c r="C1590" s="906">
        <v>45000</v>
      </c>
      <c r="D1590" s="904">
        <v>45000</v>
      </c>
      <c r="E1590" s="904"/>
      <c r="F1590" s="841"/>
      <c r="G1590" s="841"/>
      <c r="H1590" s="840">
        <f t="shared" si="48"/>
        <v>0</v>
      </c>
      <c r="I1590" s="840">
        <f t="shared" si="49"/>
        <v>90000</v>
      </c>
    </row>
    <row r="1591" spans="1:9" s="302" customFormat="1" ht="56.25">
      <c r="A1591" s="1068"/>
      <c r="B1591" s="475" t="s">
        <v>2079</v>
      </c>
      <c r="C1591" s="908">
        <v>10000</v>
      </c>
      <c r="D1591" s="908">
        <v>10000</v>
      </c>
      <c r="E1591" s="905"/>
      <c r="F1591" s="841"/>
      <c r="G1591" s="841"/>
      <c r="H1591" s="840">
        <f t="shared" si="48"/>
        <v>0</v>
      </c>
      <c r="I1591" s="840">
        <f t="shared" si="49"/>
        <v>20000</v>
      </c>
    </row>
    <row r="1592" spans="1:9" s="302" customFormat="1" ht="37.5">
      <c r="A1592" s="1068"/>
      <c r="B1592" s="475" t="s">
        <v>2080</v>
      </c>
      <c r="C1592" s="908">
        <v>15000</v>
      </c>
      <c r="D1592" s="908">
        <v>15000</v>
      </c>
      <c r="E1592" s="905"/>
      <c r="F1592" s="841"/>
      <c r="G1592" s="841"/>
      <c r="H1592" s="840">
        <f t="shared" si="48"/>
        <v>0</v>
      </c>
      <c r="I1592" s="840">
        <f t="shared" si="49"/>
        <v>30000</v>
      </c>
    </row>
    <row r="1593" spans="1:9" s="302" customFormat="1" ht="75">
      <c r="A1593" s="1068"/>
      <c r="B1593" s="863" t="s">
        <v>2081</v>
      </c>
      <c r="C1593" s="915">
        <v>3000</v>
      </c>
      <c r="D1593" s="908">
        <v>3000</v>
      </c>
      <c r="E1593" s="905"/>
      <c r="F1593" s="841"/>
      <c r="G1593" s="841"/>
      <c r="H1593" s="840">
        <f t="shared" si="48"/>
        <v>0</v>
      </c>
      <c r="I1593" s="840">
        <f t="shared" si="49"/>
        <v>6000</v>
      </c>
    </row>
    <row r="1594" spans="1:9" s="302" customFormat="1" ht="75">
      <c r="A1594" s="1068"/>
      <c r="B1594" s="863" t="s">
        <v>2082</v>
      </c>
      <c r="C1594" s="915">
        <v>5000</v>
      </c>
      <c r="D1594" s="908">
        <v>5000</v>
      </c>
      <c r="E1594" s="905"/>
      <c r="F1594" s="841"/>
      <c r="G1594" s="841"/>
      <c r="H1594" s="840">
        <f t="shared" si="48"/>
        <v>0</v>
      </c>
      <c r="I1594" s="840">
        <f t="shared" si="49"/>
        <v>10000</v>
      </c>
    </row>
    <row r="1595" spans="1:9" s="302" customFormat="1" ht="93.75">
      <c r="A1595" s="1068"/>
      <c r="B1595" s="863" t="s">
        <v>2083</v>
      </c>
      <c r="C1595" s="915">
        <v>5000</v>
      </c>
      <c r="D1595" s="908">
        <v>5000</v>
      </c>
      <c r="E1595" s="905"/>
      <c r="F1595" s="841"/>
      <c r="G1595" s="841"/>
      <c r="H1595" s="840">
        <f t="shared" si="48"/>
        <v>0</v>
      </c>
      <c r="I1595" s="840">
        <f t="shared" si="49"/>
        <v>10000</v>
      </c>
    </row>
    <row r="1596" spans="1:9" s="302" customFormat="1" ht="93.75">
      <c r="A1596" s="1068"/>
      <c r="B1596" s="475" t="s">
        <v>2084</v>
      </c>
      <c r="C1596" s="908">
        <v>20000</v>
      </c>
      <c r="D1596" s="908">
        <v>8000</v>
      </c>
      <c r="E1596" s="905">
        <v>12000</v>
      </c>
      <c r="F1596" s="841"/>
      <c r="G1596" s="841"/>
      <c r="H1596" s="840">
        <f t="shared" si="48"/>
        <v>0</v>
      </c>
      <c r="I1596" s="840">
        <f t="shared" si="49"/>
        <v>40000</v>
      </c>
    </row>
    <row r="1597" spans="1:9" s="302" customFormat="1" ht="56.25">
      <c r="A1597" s="1068"/>
      <c r="B1597" s="475" t="s">
        <v>2085</v>
      </c>
      <c r="C1597" s="908">
        <v>30000</v>
      </c>
      <c r="D1597" s="908">
        <v>10000</v>
      </c>
      <c r="E1597" s="905">
        <v>20000</v>
      </c>
      <c r="F1597" s="841"/>
      <c r="G1597" s="841"/>
      <c r="H1597" s="840">
        <f t="shared" si="48"/>
        <v>0</v>
      </c>
      <c r="I1597" s="840">
        <f t="shared" si="49"/>
        <v>60000</v>
      </c>
    </row>
    <row r="1598" spans="1:9" s="302" customFormat="1" ht="56.25">
      <c r="A1598" s="1068"/>
      <c r="B1598" s="475" t="s">
        <v>2086</v>
      </c>
      <c r="C1598" s="908">
        <v>25605</v>
      </c>
      <c r="D1598" s="908"/>
      <c r="E1598" s="905">
        <v>25605</v>
      </c>
      <c r="F1598" s="841"/>
      <c r="G1598" s="841"/>
      <c r="H1598" s="840">
        <f t="shared" si="48"/>
        <v>0</v>
      </c>
      <c r="I1598" s="840">
        <f t="shared" si="49"/>
        <v>51210</v>
      </c>
    </row>
    <row r="1599" spans="1:9" s="302" customFormat="1" ht="56.25">
      <c r="A1599" s="1068"/>
      <c r="B1599" s="475" t="s">
        <v>3102</v>
      </c>
      <c r="C1599" s="905">
        <v>20000</v>
      </c>
      <c r="D1599" s="905">
        <v>20000</v>
      </c>
      <c r="E1599" s="905"/>
      <c r="F1599" s="841"/>
      <c r="G1599" s="841"/>
      <c r="H1599" s="840">
        <f t="shared" si="48"/>
        <v>0</v>
      </c>
      <c r="I1599" s="840">
        <f t="shared" si="49"/>
        <v>40000</v>
      </c>
    </row>
    <row r="1600" spans="1:9" s="302" customFormat="1" ht="56.25">
      <c r="A1600" s="1068"/>
      <c r="B1600" s="475" t="s">
        <v>2581</v>
      </c>
      <c r="C1600" s="905">
        <v>32000</v>
      </c>
      <c r="D1600" s="905">
        <v>20000</v>
      </c>
      <c r="E1600" s="905">
        <v>12000</v>
      </c>
      <c r="F1600" s="841"/>
      <c r="G1600" s="841"/>
      <c r="H1600" s="840">
        <f t="shared" si="48"/>
        <v>0</v>
      </c>
      <c r="I1600" s="840">
        <f t="shared" si="49"/>
        <v>64000</v>
      </c>
    </row>
    <row r="1601" spans="1:9" s="302" customFormat="1" ht="37.5">
      <c r="A1601" s="1068"/>
      <c r="B1601" s="475" t="s">
        <v>2793</v>
      </c>
      <c r="C1601" s="908">
        <v>16000</v>
      </c>
      <c r="D1601" s="908"/>
      <c r="E1601" s="905">
        <v>16000</v>
      </c>
      <c r="F1601" s="841"/>
      <c r="G1601" s="841"/>
      <c r="H1601" s="840">
        <f t="shared" si="48"/>
        <v>0</v>
      </c>
      <c r="I1601" s="840">
        <f t="shared" si="49"/>
        <v>32000</v>
      </c>
    </row>
    <row r="1602" spans="1:9" s="302" customFormat="1" ht="56.25">
      <c r="A1602" s="1068"/>
      <c r="B1602" s="475" t="s">
        <v>2794</v>
      </c>
      <c r="C1602" s="908">
        <v>20000</v>
      </c>
      <c r="D1602" s="908">
        <v>20000</v>
      </c>
      <c r="E1602" s="905"/>
      <c r="F1602" s="841"/>
      <c r="G1602" s="841"/>
      <c r="H1602" s="840">
        <f t="shared" si="48"/>
        <v>0</v>
      </c>
      <c r="I1602" s="840">
        <f t="shared" si="49"/>
        <v>40000</v>
      </c>
    </row>
    <row r="1603" spans="1:9" s="302" customFormat="1" hidden="1">
      <c r="A1603" s="1068"/>
      <c r="B1603" s="475"/>
      <c r="C1603" s="916"/>
      <c r="D1603" s="916"/>
      <c r="E1603" s="905"/>
      <c r="F1603" s="841"/>
      <c r="G1603" s="841"/>
      <c r="H1603" s="840">
        <f t="shared" si="48"/>
        <v>0</v>
      </c>
      <c r="I1603" s="840">
        <f t="shared" si="49"/>
        <v>0</v>
      </c>
    </row>
    <row r="1604" spans="1:9" s="302" customFormat="1" hidden="1">
      <c r="A1604" s="1068"/>
      <c r="B1604" s="475"/>
      <c r="C1604" s="916"/>
      <c r="D1604" s="916"/>
      <c r="E1604" s="905"/>
      <c r="F1604" s="841"/>
      <c r="G1604" s="841"/>
      <c r="H1604" s="840">
        <f t="shared" si="48"/>
        <v>0</v>
      </c>
      <c r="I1604" s="840">
        <f t="shared" si="49"/>
        <v>0</v>
      </c>
    </row>
    <row r="1605" spans="1:9" s="302" customFormat="1" hidden="1">
      <c r="A1605" s="1068"/>
      <c r="B1605" s="475"/>
      <c r="C1605" s="916"/>
      <c r="D1605" s="916"/>
      <c r="E1605" s="905"/>
      <c r="F1605" s="841"/>
      <c r="G1605" s="841"/>
      <c r="H1605" s="840">
        <f t="shared" si="48"/>
        <v>0</v>
      </c>
      <c r="I1605" s="840">
        <f t="shared" si="49"/>
        <v>0</v>
      </c>
    </row>
    <row r="1606" spans="1:9" s="302" customFormat="1" hidden="1">
      <c r="A1606" s="1068"/>
      <c r="B1606" s="475"/>
      <c r="C1606" s="916"/>
      <c r="D1606" s="916"/>
      <c r="E1606" s="905"/>
      <c r="F1606" s="841"/>
      <c r="G1606" s="841"/>
      <c r="H1606" s="840">
        <f t="shared" si="48"/>
        <v>0</v>
      </c>
      <c r="I1606" s="840">
        <f t="shared" si="49"/>
        <v>0</v>
      </c>
    </row>
    <row r="1607" spans="1:9" s="302" customFormat="1" hidden="1">
      <c r="A1607" s="1068"/>
      <c r="B1607" s="475"/>
      <c r="C1607" s="916"/>
      <c r="D1607" s="916"/>
      <c r="E1607" s="905"/>
      <c r="F1607" s="841"/>
      <c r="G1607" s="841"/>
      <c r="H1607" s="840">
        <f t="shared" si="48"/>
        <v>0</v>
      </c>
      <c r="I1607" s="840">
        <f t="shared" si="49"/>
        <v>0</v>
      </c>
    </row>
    <row r="1608" spans="1:9" s="302" customFormat="1" hidden="1">
      <c r="A1608" s="1068"/>
      <c r="B1608" s="475"/>
      <c r="C1608" s="916"/>
      <c r="D1608" s="916"/>
      <c r="E1608" s="905"/>
      <c r="F1608" s="841"/>
      <c r="G1608" s="841"/>
      <c r="H1608" s="840">
        <f t="shared" si="48"/>
        <v>0</v>
      </c>
      <c r="I1608" s="840">
        <f t="shared" si="49"/>
        <v>0</v>
      </c>
    </row>
    <row r="1609" spans="1:9" s="302" customFormat="1" hidden="1">
      <c r="A1609" s="1068"/>
      <c r="B1609" s="475"/>
      <c r="C1609" s="916"/>
      <c r="D1609" s="916"/>
      <c r="E1609" s="905"/>
      <c r="F1609" s="841"/>
      <c r="G1609" s="841"/>
      <c r="H1609" s="840">
        <f t="shared" ref="H1609:H1672" si="50">E1609+D1609-C1609</f>
        <v>0</v>
      </c>
      <c r="I1609" s="840">
        <f t="shared" ref="I1609:I1672" si="51">SUM(C1609:E1609)</f>
        <v>0</v>
      </c>
    </row>
    <row r="1610" spans="1:9" s="302" customFormat="1" hidden="1">
      <c r="A1610" s="1068"/>
      <c r="B1610" s="475"/>
      <c r="C1610" s="916"/>
      <c r="D1610" s="916"/>
      <c r="E1610" s="905"/>
      <c r="F1610" s="841"/>
      <c r="G1610" s="841"/>
      <c r="H1610" s="840">
        <f t="shared" si="50"/>
        <v>0</v>
      </c>
      <c r="I1610" s="840">
        <f t="shared" si="51"/>
        <v>0</v>
      </c>
    </row>
    <row r="1611" spans="1:9" s="302" customFormat="1" hidden="1">
      <c r="A1611" s="1068"/>
      <c r="B1611" s="475"/>
      <c r="C1611" s="916"/>
      <c r="D1611" s="916"/>
      <c r="E1611" s="905"/>
      <c r="F1611" s="841"/>
      <c r="G1611" s="841"/>
      <c r="H1611" s="840">
        <f t="shared" si="50"/>
        <v>0</v>
      </c>
      <c r="I1611" s="840">
        <f t="shared" si="51"/>
        <v>0</v>
      </c>
    </row>
    <row r="1612" spans="1:9" s="302" customFormat="1" hidden="1">
      <c r="A1612" s="1068"/>
      <c r="B1612" s="475"/>
      <c r="C1612" s="916"/>
      <c r="D1612" s="916"/>
      <c r="E1612" s="905"/>
      <c r="F1612" s="841"/>
      <c r="G1612" s="841"/>
      <c r="H1612" s="840">
        <f t="shared" si="50"/>
        <v>0</v>
      </c>
      <c r="I1612" s="840">
        <f t="shared" si="51"/>
        <v>0</v>
      </c>
    </row>
    <row r="1613" spans="1:9" s="302" customFormat="1" hidden="1">
      <c r="A1613" s="1068"/>
      <c r="B1613" s="475"/>
      <c r="C1613" s="916"/>
      <c r="D1613" s="916"/>
      <c r="E1613" s="905"/>
      <c r="F1613" s="841"/>
      <c r="G1613" s="841"/>
      <c r="H1613" s="840">
        <f t="shared" si="50"/>
        <v>0</v>
      </c>
      <c r="I1613" s="840">
        <f t="shared" si="51"/>
        <v>0</v>
      </c>
    </row>
    <row r="1614" spans="1:9" s="302" customFormat="1" hidden="1">
      <c r="A1614" s="1068"/>
      <c r="B1614" s="475"/>
      <c r="C1614" s="916"/>
      <c r="D1614" s="916"/>
      <c r="E1614" s="905"/>
      <c r="F1614" s="841"/>
      <c r="G1614" s="841"/>
      <c r="H1614" s="840">
        <f t="shared" si="50"/>
        <v>0</v>
      </c>
      <c r="I1614" s="840">
        <f t="shared" si="51"/>
        <v>0</v>
      </c>
    </row>
    <row r="1615" spans="1:9" s="302" customFormat="1" hidden="1">
      <c r="A1615" s="1068"/>
      <c r="B1615" s="475"/>
      <c r="C1615" s="916"/>
      <c r="D1615" s="916"/>
      <c r="E1615" s="905"/>
      <c r="F1615" s="841"/>
      <c r="G1615" s="841"/>
      <c r="H1615" s="840">
        <f t="shared" si="50"/>
        <v>0</v>
      </c>
      <c r="I1615" s="840">
        <f t="shared" si="51"/>
        <v>0</v>
      </c>
    </row>
    <row r="1616" spans="1:9" s="302" customFormat="1" hidden="1">
      <c r="A1616" s="1068"/>
      <c r="B1616" s="475"/>
      <c r="C1616" s="916"/>
      <c r="D1616" s="916"/>
      <c r="E1616" s="905"/>
      <c r="F1616" s="841"/>
      <c r="G1616" s="841"/>
      <c r="H1616" s="840">
        <f t="shared" si="50"/>
        <v>0</v>
      </c>
      <c r="I1616" s="840">
        <f t="shared" si="51"/>
        <v>0</v>
      </c>
    </row>
    <row r="1617" spans="1:9" s="302" customFormat="1" hidden="1">
      <c r="A1617" s="1068"/>
      <c r="B1617" s="475"/>
      <c r="C1617" s="916"/>
      <c r="D1617" s="916"/>
      <c r="E1617" s="905"/>
      <c r="F1617" s="841"/>
      <c r="G1617" s="841"/>
      <c r="H1617" s="840">
        <f t="shared" si="50"/>
        <v>0</v>
      </c>
      <c r="I1617" s="840">
        <f t="shared" si="51"/>
        <v>0</v>
      </c>
    </row>
    <row r="1618" spans="1:9" s="302" customFormat="1" hidden="1">
      <c r="A1618" s="1068"/>
      <c r="B1618" s="475"/>
      <c r="C1618" s="916"/>
      <c r="D1618" s="916"/>
      <c r="E1618" s="905"/>
      <c r="F1618" s="841"/>
      <c r="G1618" s="841"/>
      <c r="H1618" s="840">
        <f t="shared" si="50"/>
        <v>0</v>
      </c>
      <c r="I1618" s="840">
        <f t="shared" si="51"/>
        <v>0</v>
      </c>
    </row>
    <row r="1619" spans="1:9" s="302" customFormat="1" hidden="1">
      <c r="A1619" s="1068"/>
      <c r="B1619" s="475"/>
      <c r="C1619" s="916"/>
      <c r="D1619" s="916"/>
      <c r="E1619" s="905"/>
      <c r="F1619" s="841"/>
      <c r="G1619" s="841"/>
      <c r="H1619" s="840">
        <f t="shared" si="50"/>
        <v>0</v>
      </c>
      <c r="I1619" s="840">
        <f t="shared" si="51"/>
        <v>0</v>
      </c>
    </row>
    <row r="1620" spans="1:9" s="302" customFormat="1" hidden="1">
      <c r="A1620" s="1068"/>
      <c r="B1620" s="475"/>
      <c r="C1620" s="916"/>
      <c r="D1620" s="916"/>
      <c r="E1620" s="905"/>
      <c r="F1620" s="841"/>
      <c r="G1620" s="841"/>
      <c r="H1620" s="840">
        <f t="shared" si="50"/>
        <v>0</v>
      </c>
      <c r="I1620" s="840">
        <f t="shared" si="51"/>
        <v>0</v>
      </c>
    </row>
    <row r="1621" spans="1:9" s="302" customFormat="1" hidden="1">
      <c r="A1621" s="1068"/>
      <c r="B1621" s="475"/>
      <c r="C1621" s="916"/>
      <c r="D1621" s="916"/>
      <c r="E1621" s="905"/>
      <c r="F1621" s="841"/>
      <c r="G1621" s="841"/>
      <c r="H1621" s="840">
        <f t="shared" si="50"/>
        <v>0</v>
      </c>
      <c r="I1621" s="840">
        <f t="shared" si="51"/>
        <v>0</v>
      </c>
    </row>
    <row r="1622" spans="1:9" s="302" customFormat="1" hidden="1">
      <c r="A1622" s="1068"/>
      <c r="B1622" s="475"/>
      <c r="C1622" s="916"/>
      <c r="D1622" s="916"/>
      <c r="E1622" s="905"/>
      <c r="F1622" s="841"/>
      <c r="G1622" s="841"/>
      <c r="H1622" s="840">
        <f t="shared" si="50"/>
        <v>0</v>
      </c>
      <c r="I1622" s="840">
        <f t="shared" si="51"/>
        <v>0</v>
      </c>
    </row>
    <row r="1623" spans="1:9" s="302" customFormat="1" hidden="1">
      <c r="A1623" s="1068"/>
      <c r="B1623" s="475"/>
      <c r="C1623" s="916"/>
      <c r="D1623" s="916"/>
      <c r="E1623" s="905"/>
      <c r="F1623" s="841"/>
      <c r="G1623" s="841"/>
      <c r="H1623" s="840">
        <f t="shared" si="50"/>
        <v>0</v>
      </c>
      <c r="I1623" s="840">
        <f t="shared" si="51"/>
        <v>0</v>
      </c>
    </row>
    <row r="1624" spans="1:9" s="302" customFormat="1" hidden="1">
      <c r="A1624" s="1068"/>
      <c r="B1624" s="475"/>
      <c r="C1624" s="916"/>
      <c r="D1624" s="916"/>
      <c r="E1624" s="905"/>
      <c r="F1624" s="841"/>
      <c r="G1624" s="841"/>
      <c r="H1624" s="840">
        <f t="shared" si="50"/>
        <v>0</v>
      </c>
      <c r="I1624" s="840">
        <f t="shared" si="51"/>
        <v>0</v>
      </c>
    </row>
    <row r="1625" spans="1:9" s="302" customFormat="1" hidden="1">
      <c r="A1625" s="1068"/>
      <c r="B1625" s="475"/>
      <c r="C1625" s="916"/>
      <c r="D1625" s="916"/>
      <c r="E1625" s="905"/>
      <c r="F1625" s="841"/>
      <c r="G1625" s="841"/>
      <c r="H1625" s="840">
        <f t="shared" si="50"/>
        <v>0</v>
      </c>
      <c r="I1625" s="840">
        <f t="shared" si="51"/>
        <v>0</v>
      </c>
    </row>
    <row r="1626" spans="1:9" s="302" customFormat="1" hidden="1">
      <c r="A1626" s="1068"/>
      <c r="B1626" s="475"/>
      <c r="C1626" s="916"/>
      <c r="D1626" s="916"/>
      <c r="E1626" s="905"/>
      <c r="F1626" s="841"/>
      <c r="G1626" s="841"/>
      <c r="H1626" s="840">
        <f t="shared" si="50"/>
        <v>0</v>
      </c>
      <c r="I1626" s="840">
        <f t="shared" si="51"/>
        <v>0</v>
      </c>
    </row>
    <row r="1627" spans="1:9" s="302" customFormat="1" hidden="1">
      <c r="A1627" s="1068"/>
      <c r="B1627" s="475"/>
      <c r="C1627" s="916"/>
      <c r="D1627" s="916"/>
      <c r="E1627" s="905"/>
      <c r="F1627" s="841"/>
      <c r="G1627" s="841"/>
      <c r="H1627" s="840">
        <f t="shared" si="50"/>
        <v>0</v>
      </c>
      <c r="I1627" s="840">
        <f t="shared" si="51"/>
        <v>0</v>
      </c>
    </row>
    <row r="1628" spans="1:9" s="302" customFormat="1" hidden="1">
      <c r="A1628" s="1068"/>
      <c r="B1628" s="475"/>
      <c r="C1628" s="916"/>
      <c r="D1628" s="916"/>
      <c r="E1628" s="905"/>
      <c r="F1628" s="841"/>
      <c r="G1628" s="841"/>
      <c r="H1628" s="840">
        <f t="shared" si="50"/>
        <v>0</v>
      </c>
      <c r="I1628" s="840">
        <f t="shared" si="51"/>
        <v>0</v>
      </c>
    </row>
    <row r="1629" spans="1:9" s="302" customFormat="1" hidden="1">
      <c r="A1629" s="1068"/>
      <c r="B1629" s="475"/>
      <c r="C1629" s="916"/>
      <c r="D1629" s="916"/>
      <c r="E1629" s="905"/>
      <c r="F1629" s="841"/>
      <c r="G1629" s="841"/>
      <c r="H1629" s="840">
        <f t="shared" si="50"/>
        <v>0</v>
      </c>
      <c r="I1629" s="840">
        <f t="shared" si="51"/>
        <v>0</v>
      </c>
    </row>
    <row r="1630" spans="1:9" s="302" customFormat="1" hidden="1">
      <c r="A1630" s="1068"/>
      <c r="B1630" s="475"/>
      <c r="C1630" s="916"/>
      <c r="D1630" s="916"/>
      <c r="E1630" s="905"/>
      <c r="F1630" s="841"/>
      <c r="G1630" s="841"/>
      <c r="H1630" s="840">
        <f t="shared" si="50"/>
        <v>0</v>
      </c>
      <c r="I1630" s="840">
        <f t="shared" si="51"/>
        <v>0</v>
      </c>
    </row>
    <row r="1631" spans="1:9" s="302" customFormat="1" hidden="1">
      <c r="A1631" s="1068"/>
      <c r="B1631" s="475"/>
      <c r="C1631" s="916"/>
      <c r="D1631" s="916"/>
      <c r="E1631" s="905"/>
      <c r="F1631" s="841"/>
      <c r="G1631" s="841"/>
      <c r="H1631" s="840">
        <f t="shared" si="50"/>
        <v>0</v>
      </c>
      <c r="I1631" s="840">
        <f t="shared" si="51"/>
        <v>0</v>
      </c>
    </row>
    <row r="1632" spans="1:9" s="302" customFormat="1" hidden="1">
      <c r="A1632" s="1068"/>
      <c r="B1632" s="475"/>
      <c r="C1632" s="916"/>
      <c r="D1632" s="916"/>
      <c r="E1632" s="905"/>
      <c r="F1632" s="841"/>
      <c r="G1632" s="841"/>
      <c r="H1632" s="840">
        <f t="shared" si="50"/>
        <v>0</v>
      </c>
      <c r="I1632" s="840">
        <f t="shared" si="51"/>
        <v>0</v>
      </c>
    </row>
    <row r="1633" spans="1:9" s="302" customFormat="1" hidden="1">
      <c r="A1633" s="1068"/>
      <c r="B1633" s="475"/>
      <c r="C1633" s="916"/>
      <c r="D1633" s="916"/>
      <c r="E1633" s="905"/>
      <c r="F1633" s="841"/>
      <c r="G1633" s="841"/>
      <c r="H1633" s="840">
        <f t="shared" si="50"/>
        <v>0</v>
      </c>
      <c r="I1633" s="840">
        <f t="shared" si="51"/>
        <v>0</v>
      </c>
    </row>
    <row r="1634" spans="1:9" s="302" customFormat="1" hidden="1">
      <c r="A1634" s="1068"/>
      <c r="B1634" s="475"/>
      <c r="C1634" s="916"/>
      <c r="D1634" s="916"/>
      <c r="E1634" s="905"/>
      <c r="F1634" s="841"/>
      <c r="G1634" s="841"/>
      <c r="H1634" s="840">
        <f t="shared" si="50"/>
        <v>0</v>
      </c>
      <c r="I1634" s="840">
        <f t="shared" si="51"/>
        <v>0</v>
      </c>
    </row>
    <row r="1635" spans="1:9" s="302" customFormat="1" hidden="1">
      <c r="A1635" s="1068"/>
      <c r="B1635" s="475"/>
      <c r="C1635" s="916"/>
      <c r="D1635" s="916"/>
      <c r="E1635" s="905"/>
      <c r="F1635" s="841"/>
      <c r="G1635" s="841"/>
      <c r="H1635" s="840">
        <f t="shared" si="50"/>
        <v>0</v>
      </c>
      <c r="I1635" s="840">
        <f t="shared" si="51"/>
        <v>0</v>
      </c>
    </row>
    <row r="1636" spans="1:9" s="302" customFormat="1" hidden="1">
      <c r="A1636" s="1068"/>
      <c r="B1636" s="475"/>
      <c r="C1636" s="905"/>
      <c r="D1636" s="916"/>
      <c r="E1636" s="905"/>
      <c r="F1636" s="841"/>
      <c r="G1636" s="841"/>
      <c r="H1636" s="840">
        <f t="shared" si="50"/>
        <v>0</v>
      </c>
      <c r="I1636" s="840">
        <f t="shared" si="51"/>
        <v>0</v>
      </c>
    </row>
    <row r="1637" spans="1:9" s="302" customFormat="1" hidden="1">
      <c r="A1637" s="1068"/>
      <c r="B1637" s="475"/>
      <c r="C1637" s="905"/>
      <c r="D1637" s="905"/>
      <c r="E1637" s="905"/>
      <c r="F1637" s="841"/>
      <c r="G1637" s="841"/>
      <c r="H1637" s="840">
        <f t="shared" si="50"/>
        <v>0</v>
      </c>
      <c r="I1637" s="840">
        <f t="shared" si="51"/>
        <v>0</v>
      </c>
    </row>
    <row r="1638" spans="1:9" s="302" customFormat="1" hidden="1">
      <c r="A1638" s="1068"/>
      <c r="B1638" s="475"/>
      <c r="C1638" s="905"/>
      <c r="D1638" s="905"/>
      <c r="E1638" s="905"/>
      <c r="F1638" s="841"/>
      <c r="G1638" s="841"/>
      <c r="H1638" s="840">
        <f t="shared" si="50"/>
        <v>0</v>
      </c>
      <c r="I1638" s="840">
        <f t="shared" si="51"/>
        <v>0</v>
      </c>
    </row>
    <row r="1639" spans="1:9" s="302" customFormat="1" hidden="1">
      <c r="A1639" s="1068"/>
      <c r="B1639" s="475"/>
      <c r="C1639" s="905"/>
      <c r="D1639" s="905"/>
      <c r="E1639" s="905"/>
      <c r="F1639" s="841"/>
      <c r="G1639" s="841"/>
      <c r="H1639" s="840">
        <f t="shared" si="50"/>
        <v>0</v>
      </c>
      <c r="I1639" s="840">
        <f t="shared" si="51"/>
        <v>0</v>
      </c>
    </row>
    <row r="1640" spans="1:9" s="302" customFormat="1" hidden="1">
      <c r="A1640" s="1068"/>
      <c r="B1640" s="475"/>
      <c r="C1640" s="905"/>
      <c r="D1640" s="905"/>
      <c r="E1640" s="905"/>
      <c r="F1640" s="841"/>
      <c r="G1640" s="841"/>
      <c r="H1640" s="840">
        <f t="shared" si="50"/>
        <v>0</v>
      </c>
      <c r="I1640" s="840">
        <f t="shared" si="51"/>
        <v>0</v>
      </c>
    </row>
    <row r="1641" spans="1:9" s="302" customFormat="1" hidden="1">
      <c r="A1641" s="1068"/>
      <c r="B1641" s="475"/>
      <c r="C1641" s="905"/>
      <c r="D1641" s="905"/>
      <c r="E1641" s="905"/>
      <c r="F1641" s="841"/>
      <c r="G1641" s="841"/>
      <c r="H1641" s="840">
        <f t="shared" si="50"/>
        <v>0</v>
      </c>
      <c r="I1641" s="840">
        <f t="shared" si="51"/>
        <v>0</v>
      </c>
    </row>
    <row r="1642" spans="1:9" s="302" customFormat="1" hidden="1">
      <c r="A1642" s="1068"/>
      <c r="B1642" s="475"/>
      <c r="C1642" s="905"/>
      <c r="D1642" s="905"/>
      <c r="E1642" s="905"/>
      <c r="F1642" s="841"/>
      <c r="G1642" s="841"/>
      <c r="H1642" s="840">
        <f t="shared" si="50"/>
        <v>0</v>
      </c>
      <c r="I1642" s="840">
        <f t="shared" si="51"/>
        <v>0</v>
      </c>
    </row>
    <row r="1643" spans="1:9" s="302" customFormat="1" hidden="1">
      <c r="A1643" s="1068"/>
      <c r="B1643" s="475"/>
      <c r="C1643" s="905"/>
      <c r="D1643" s="905"/>
      <c r="E1643" s="905"/>
      <c r="F1643" s="841"/>
      <c r="G1643" s="841"/>
      <c r="H1643" s="840">
        <f t="shared" si="50"/>
        <v>0</v>
      </c>
      <c r="I1643" s="840">
        <f t="shared" si="51"/>
        <v>0</v>
      </c>
    </row>
    <row r="1644" spans="1:9" s="302" customFormat="1" hidden="1">
      <c r="A1644" s="1068"/>
      <c r="B1644" s="475"/>
      <c r="C1644" s="905"/>
      <c r="D1644" s="905"/>
      <c r="E1644" s="905"/>
      <c r="F1644" s="841"/>
      <c r="G1644" s="841"/>
      <c r="H1644" s="840">
        <f t="shared" si="50"/>
        <v>0</v>
      </c>
      <c r="I1644" s="840">
        <f t="shared" si="51"/>
        <v>0</v>
      </c>
    </row>
    <row r="1645" spans="1:9" s="302" customFormat="1" hidden="1">
      <c r="A1645" s="1068"/>
      <c r="B1645" s="475"/>
      <c r="C1645" s="905"/>
      <c r="D1645" s="905"/>
      <c r="E1645" s="905"/>
      <c r="F1645" s="841"/>
      <c r="G1645" s="841"/>
      <c r="H1645" s="840">
        <f t="shared" si="50"/>
        <v>0</v>
      </c>
      <c r="I1645" s="840">
        <f t="shared" si="51"/>
        <v>0</v>
      </c>
    </row>
    <row r="1646" spans="1:9" s="302" customFormat="1" hidden="1">
      <c r="A1646" s="1068"/>
      <c r="B1646" s="475"/>
      <c r="C1646" s="905"/>
      <c r="D1646" s="905"/>
      <c r="E1646" s="905"/>
      <c r="F1646" s="841"/>
      <c r="G1646" s="841"/>
      <c r="H1646" s="840">
        <f t="shared" si="50"/>
        <v>0</v>
      </c>
      <c r="I1646" s="840">
        <f t="shared" si="51"/>
        <v>0</v>
      </c>
    </row>
    <row r="1647" spans="1:9" s="302" customFormat="1" hidden="1">
      <c r="A1647" s="1068"/>
      <c r="B1647" s="475"/>
      <c r="C1647" s="905"/>
      <c r="D1647" s="905"/>
      <c r="E1647" s="905"/>
      <c r="F1647" s="841"/>
      <c r="G1647" s="841"/>
      <c r="H1647" s="840">
        <f t="shared" si="50"/>
        <v>0</v>
      </c>
      <c r="I1647" s="840">
        <f t="shared" si="51"/>
        <v>0</v>
      </c>
    </row>
    <row r="1648" spans="1:9" s="302" customFormat="1" hidden="1">
      <c r="A1648" s="1068"/>
      <c r="B1648" s="475"/>
      <c r="C1648" s="905"/>
      <c r="D1648" s="905"/>
      <c r="E1648" s="905"/>
      <c r="F1648" s="841"/>
      <c r="G1648" s="841"/>
      <c r="H1648" s="840">
        <f t="shared" si="50"/>
        <v>0</v>
      </c>
      <c r="I1648" s="840">
        <f t="shared" si="51"/>
        <v>0</v>
      </c>
    </row>
    <row r="1649" spans="1:9" s="302" customFormat="1" hidden="1">
      <c r="A1649" s="1068"/>
      <c r="B1649" s="475"/>
      <c r="C1649" s="916"/>
      <c r="D1649" s="916"/>
      <c r="E1649" s="905"/>
      <c r="F1649" s="841"/>
      <c r="G1649" s="841"/>
      <c r="H1649" s="840">
        <f t="shared" si="50"/>
        <v>0</v>
      </c>
      <c r="I1649" s="840">
        <f t="shared" si="51"/>
        <v>0</v>
      </c>
    </row>
    <row r="1650" spans="1:9" s="302" customFormat="1" hidden="1">
      <c r="A1650" s="1068"/>
      <c r="B1650" s="894"/>
      <c r="C1650" s="922"/>
      <c r="D1650" s="922"/>
      <c r="E1650" s="926"/>
      <c r="F1650" s="841"/>
      <c r="G1650" s="841"/>
      <c r="H1650" s="840">
        <f t="shared" si="50"/>
        <v>0</v>
      </c>
      <c r="I1650" s="840">
        <f t="shared" si="51"/>
        <v>0</v>
      </c>
    </row>
    <row r="1651" spans="1:9" s="302" customFormat="1" hidden="1">
      <c r="A1651" s="1068"/>
      <c r="B1651" s="475"/>
      <c r="C1651" s="916"/>
      <c r="D1651" s="916"/>
      <c r="E1651" s="905"/>
      <c r="F1651" s="841"/>
      <c r="G1651" s="841"/>
      <c r="H1651" s="840">
        <f t="shared" si="50"/>
        <v>0</v>
      </c>
      <c r="I1651" s="840">
        <f t="shared" si="51"/>
        <v>0</v>
      </c>
    </row>
    <row r="1652" spans="1:9" s="302" customFormat="1" hidden="1">
      <c r="A1652" s="1068"/>
      <c r="B1652" s="475"/>
      <c r="C1652" s="934"/>
      <c r="D1652" s="934"/>
      <c r="E1652" s="934"/>
      <c r="F1652" s="841"/>
      <c r="G1652" s="841"/>
      <c r="H1652" s="840">
        <f t="shared" si="50"/>
        <v>0</v>
      </c>
      <c r="I1652" s="840">
        <f t="shared" si="51"/>
        <v>0</v>
      </c>
    </row>
    <row r="1653" spans="1:9" s="302" customFormat="1" hidden="1">
      <c r="A1653" s="1068"/>
      <c r="B1653" s="475"/>
      <c r="C1653" s="934"/>
      <c r="D1653" s="934"/>
      <c r="E1653" s="934"/>
      <c r="F1653" s="841"/>
      <c r="G1653" s="841"/>
      <c r="H1653" s="840">
        <f t="shared" si="50"/>
        <v>0</v>
      </c>
      <c r="I1653" s="840">
        <f t="shared" si="51"/>
        <v>0</v>
      </c>
    </row>
    <row r="1654" spans="1:9" s="302" customFormat="1" hidden="1">
      <c r="A1654" s="1068"/>
      <c r="B1654" s="475"/>
      <c r="C1654" s="934"/>
      <c r="D1654" s="934"/>
      <c r="E1654" s="934"/>
      <c r="F1654" s="841"/>
      <c r="G1654" s="841"/>
      <c r="H1654" s="840">
        <f t="shared" si="50"/>
        <v>0</v>
      </c>
      <c r="I1654" s="840">
        <f t="shared" si="51"/>
        <v>0</v>
      </c>
    </row>
    <row r="1655" spans="1:9" s="302" customFormat="1" hidden="1">
      <c r="A1655" s="1068"/>
      <c r="B1655" s="475"/>
      <c r="C1655" s="934"/>
      <c r="D1655" s="934"/>
      <c r="E1655" s="934"/>
      <c r="F1655" s="841"/>
      <c r="G1655" s="841"/>
      <c r="H1655" s="840">
        <f t="shared" si="50"/>
        <v>0</v>
      </c>
      <c r="I1655" s="840">
        <f t="shared" si="51"/>
        <v>0</v>
      </c>
    </row>
    <row r="1656" spans="1:9" s="302" customFormat="1" hidden="1">
      <c r="A1656" s="1068"/>
      <c r="B1656" s="475"/>
      <c r="C1656" s="934"/>
      <c r="D1656" s="934"/>
      <c r="E1656" s="934"/>
      <c r="F1656" s="841"/>
      <c r="G1656" s="841"/>
      <c r="H1656" s="840">
        <f t="shared" si="50"/>
        <v>0</v>
      </c>
      <c r="I1656" s="840">
        <f t="shared" si="51"/>
        <v>0</v>
      </c>
    </row>
    <row r="1657" spans="1:9" s="302" customFormat="1" hidden="1">
      <c r="A1657" s="1068"/>
      <c r="B1657" s="475"/>
      <c r="C1657" s="934"/>
      <c r="D1657" s="934"/>
      <c r="E1657" s="934"/>
      <c r="F1657" s="841"/>
      <c r="G1657" s="841"/>
      <c r="H1657" s="840">
        <f t="shared" si="50"/>
        <v>0</v>
      </c>
      <c r="I1657" s="840">
        <f t="shared" si="51"/>
        <v>0</v>
      </c>
    </row>
    <row r="1658" spans="1:9" s="302" customFormat="1" hidden="1">
      <c r="A1658" s="1068"/>
      <c r="B1658" s="475"/>
      <c r="C1658" s="934"/>
      <c r="D1658" s="934"/>
      <c r="E1658" s="934"/>
      <c r="F1658" s="841"/>
      <c r="G1658" s="841"/>
      <c r="H1658" s="840">
        <f t="shared" si="50"/>
        <v>0</v>
      </c>
      <c r="I1658" s="840">
        <f t="shared" si="51"/>
        <v>0</v>
      </c>
    </row>
    <row r="1659" spans="1:9" s="302" customFormat="1" hidden="1">
      <c r="A1659" s="1068"/>
      <c r="B1659" s="475"/>
      <c r="C1659" s="916"/>
      <c r="D1659" s="916"/>
      <c r="E1659" s="905"/>
      <c r="F1659" s="841"/>
      <c r="G1659" s="841"/>
      <c r="H1659" s="840">
        <f t="shared" si="50"/>
        <v>0</v>
      </c>
      <c r="I1659" s="840">
        <f t="shared" si="51"/>
        <v>0</v>
      </c>
    </row>
    <row r="1660" spans="1:9" s="302" customFormat="1" hidden="1">
      <c r="A1660" s="1068"/>
      <c r="B1660" s="475"/>
      <c r="C1660" s="905"/>
      <c r="D1660" s="905"/>
      <c r="E1660" s="905"/>
      <c r="F1660" s="841"/>
      <c r="G1660" s="841"/>
      <c r="H1660" s="840">
        <f t="shared" si="50"/>
        <v>0</v>
      </c>
      <c r="I1660" s="840">
        <f t="shared" si="51"/>
        <v>0</v>
      </c>
    </row>
    <row r="1661" spans="1:9" s="302" customFormat="1" hidden="1">
      <c r="A1661" s="1068"/>
      <c r="B1661" s="475"/>
      <c r="C1661" s="916"/>
      <c r="D1661" s="916"/>
      <c r="E1661" s="905"/>
      <c r="F1661" s="841"/>
      <c r="G1661" s="841"/>
      <c r="H1661" s="840">
        <f t="shared" si="50"/>
        <v>0</v>
      </c>
      <c r="I1661" s="840">
        <f t="shared" si="51"/>
        <v>0</v>
      </c>
    </row>
    <row r="1662" spans="1:9" s="302" customFormat="1" hidden="1">
      <c r="A1662" s="1068"/>
      <c r="B1662" s="475"/>
      <c r="C1662" s="916"/>
      <c r="D1662" s="916"/>
      <c r="E1662" s="905"/>
      <c r="F1662" s="841"/>
      <c r="G1662" s="841"/>
      <c r="H1662" s="840">
        <f t="shared" si="50"/>
        <v>0</v>
      </c>
      <c r="I1662" s="840">
        <f t="shared" si="51"/>
        <v>0</v>
      </c>
    </row>
    <row r="1663" spans="1:9" s="302" customFormat="1" hidden="1">
      <c r="A1663" s="1068"/>
      <c r="B1663" s="475"/>
      <c r="C1663" s="916"/>
      <c r="D1663" s="916"/>
      <c r="E1663" s="905"/>
      <c r="F1663" s="841"/>
      <c r="G1663" s="841"/>
      <c r="H1663" s="840">
        <f t="shared" si="50"/>
        <v>0</v>
      </c>
      <c r="I1663" s="840">
        <f t="shared" si="51"/>
        <v>0</v>
      </c>
    </row>
    <row r="1664" spans="1:9" s="302" customFormat="1" hidden="1">
      <c r="A1664" s="1068"/>
      <c r="B1664" s="475"/>
      <c r="C1664" s="916"/>
      <c r="D1664" s="916"/>
      <c r="E1664" s="905"/>
      <c r="F1664" s="841"/>
      <c r="G1664" s="841"/>
      <c r="H1664" s="840">
        <f t="shared" si="50"/>
        <v>0</v>
      </c>
      <c r="I1664" s="840">
        <f t="shared" si="51"/>
        <v>0</v>
      </c>
    </row>
    <row r="1665" spans="1:9" s="302" customFormat="1" hidden="1">
      <c r="A1665" s="1068"/>
      <c r="B1665" s="475"/>
      <c r="C1665" s="916"/>
      <c r="D1665" s="916"/>
      <c r="E1665" s="905"/>
      <c r="F1665" s="841"/>
      <c r="G1665" s="841"/>
      <c r="H1665" s="840">
        <f t="shared" si="50"/>
        <v>0</v>
      </c>
      <c r="I1665" s="840">
        <f t="shared" si="51"/>
        <v>0</v>
      </c>
    </row>
    <row r="1666" spans="1:9" s="302" customFormat="1" hidden="1">
      <c r="A1666" s="1068"/>
      <c r="B1666" s="475"/>
      <c r="C1666" s="916"/>
      <c r="D1666" s="916"/>
      <c r="E1666" s="905"/>
      <c r="F1666" s="841"/>
      <c r="G1666" s="841"/>
      <c r="H1666" s="840">
        <f t="shared" si="50"/>
        <v>0</v>
      </c>
      <c r="I1666" s="840">
        <f t="shared" si="51"/>
        <v>0</v>
      </c>
    </row>
    <row r="1667" spans="1:9" s="302" customFormat="1" hidden="1">
      <c r="A1667" s="1068"/>
      <c r="B1667" s="475"/>
      <c r="C1667" s="916"/>
      <c r="D1667" s="916"/>
      <c r="E1667" s="905"/>
      <c r="F1667" s="841"/>
      <c r="G1667" s="841"/>
      <c r="H1667" s="840">
        <f t="shared" si="50"/>
        <v>0</v>
      </c>
      <c r="I1667" s="840">
        <f t="shared" si="51"/>
        <v>0</v>
      </c>
    </row>
    <row r="1668" spans="1:9" s="302" customFormat="1" hidden="1">
      <c r="A1668" s="1068"/>
      <c r="B1668" s="475"/>
      <c r="C1668" s="916"/>
      <c r="D1668" s="916"/>
      <c r="E1668" s="905"/>
      <c r="F1668" s="841"/>
      <c r="G1668" s="841"/>
      <c r="H1668" s="840">
        <f t="shared" si="50"/>
        <v>0</v>
      </c>
      <c r="I1668" s="840">
        <f t="shared" si="51"/>
        <v>0</v>
      </c>
    </row>
    <row r="1669" spans="1:9" s="302" customFormat="1" hidden="1">
      <c r="A1669" s="1068"/>
      <c r="B1669" s="475"/>
      <c r="C1669" s="916"/>
      <c r="D1669" s="916"/>
      <c r="E1669" s="905"/>
      <c r="F1669" s="841"/>
      <c r="G1669" s="841"/>
      <c r="H1669" s="840">
        <f t="shared" si="50"/>
        <v>0</v>
      </c>
      <c r="I1669" s="840">
        <f t="shared" si="51"/>
        <v>0</v>
      </c>
    </row>
    <row r="1670" spans="1:9" s="302" customFormat="1" hidden="1">
      <c r="A1670" s="1068"/>
      <c r="B1670" s="475"/>
      <c r="C1670" s="916"/>
      <c r="D1670" s="916"/>
      <c r="E1670" s="905"/>
      <c r="F1670" s="841"/>
      <c r="G1670" s="841"/>
      <c r="H1670" s="840">
        <f t="shared" si="50"/>
        <v>0</v>
      </c>
      <c r="I1670" s="840">
        <f t="shared" si="51"/>
        <v>0</v>
      </c>
    </row>
    <row r="1671" spans="1:9" s="302" customFormat="1" hidden="1">
      <c r="A1671" s="1068"/>
      <c r="B1671" s="475"/>
      <c r="C1671" s="916"/>
      <c r="D1671" s="916"/>
      <c r="E1671" s="905"/>
      <c r="F1671" s="841"/>
      <c r="G1671" s="841"/>
      <c r="H1671" s="840">
        <f t="shared" si="50"/>
        <v>0</v>
      </c>
      <c r="I1671" s="840">
        <f t="shared" si="51"/>
        <v>0</v>
      </c>
    </row>
    <row r="1672" spans="1:9" s="302" customFormat="1" hidden="1">
      <c r="A1672" s="1068"/>
      <c r="B1672" s="475"/>
      <c r="C1672" s="916"/>
      <c r="D1672" s="916"/>
      <c r="E1672" s="905"/>
      <c r="F1672" s="841"/>
      <c r="G1672" s="841"/>
      <c r="H1672" s="840">
        <f t="shared" si="50"/>
        <v>0</v>
      </c>
      <c r="I1672" s="840">
        <f t="shared" si="51"/>
        <v>0</v>
      </c>
    </row>
    <row r="1673" spans="1:9" s="302" customFormat="1" hidden="1">
      <c r="A1673" s="1068"/>
      <c r="B1673" s="475"/>
      <c r="C1673" s="916"/>
      <c r="D1673" s="916"/>
      <c r="E1673" s="905"/>
      <c r="F1673" s="841"/>
      <c r="G1673" s="841"/>
      <c r="H1673" s="840">
        <f t="shared" ref="H1673:H1736" si="52">E1673+D1673-C1673</f>
        <v>0</v>
      </c>
      <c r="I1673" s="840">
        <f t="shared" ref="I1673:I1736" si="53">SUM(C1673:E1673)</f>
        <v>0</v>
      </c>
    </row>
    <row r="1674" spans="1:9" s="302" customFormat="1" hidden="1">
      <c r="A1674" s="1068"/>
      <c r="B1674" s="475"/>
      <c r="C1674" s="916"/>
      <c r="D1674" s="916"/>
      <c r="E1674" s="905"/>
      <c r="F1674" s="841"/>
      <c r="G1674" s="841"/>
      <c r="H1674" s="840">
        <f t="shared" si="52"/>
        <v>0</v>
      </c>
      <c r="I1674" s="840">
        <f t="shared" si="53"/>
        <v>0</v>
      </c>
    </row>
    <row r="1675" spans="1:9" s="302" customFormat="1" hidden="1">
      <c r="A1675" s="1068"/>
      <c r="B1675" s="475"/>
      <c r="C1675" s="916"/>
      <c r="D1675" s="916"/>
      <c r="E1675" s="905"/>
      <c r="F1675" s="841"/>
      <c r="G1675" s="841"/>
      <c r="H1675" s="840">
        <f t="shared" si="52"/>
        <v>0</v>
      </c>
      <c r="I1675" s="840">
        <f t="shared" si="53"/>
        <v>0</v>
      </c>
    </row>
    <row r="1676" spans="1:9" s="302" customFormat="1" hidden="1">
      <c r="A1676" s="1068"/>
      <c r="B1676" s="475"/>
      <c r="C1676" s="916"/>
      <c r="D1676" s="916"/>
      <c r="E1676" s="905"/>
      <c r="F1676" s="841"/>
      <c r="G1676" s="841"/>
      <c r="H1676" s="840">
        <f t="shared" si="52"/>
        <v>0</v>
      </c>
      <c r="I1676" s="840">
        <f t="shared" si="53"/>
        <v>0</v>
      </c>
    </row>
    <row r="1677" spans="1:9" s="302" customFormat="1" hidden="1">
      <c r="A1677" s="1068"/>
      <c r="B1677" s="475"/>
      <c r="C1677" s="916"/>
      <c r="D1677" s="916"/>
      <c r="E1677" s="905"/>
      <c r="F1677" s="841"/>
      <c r="G1677" s="841"/>
      <c r="H1677" s="840">
        <f t="shared" si="52"/>
        <v>0</v>
      </c>
      <c r="I1677" s="840">
        <f t="shared" si="53"/>
        <v>0</v>
      </c>
    </row>
    <row r="1678" spans="1:9" s="302" customFormat="1" hidden="1">
      <c r="A1678" s="1068"/>
      <c r="B1678" s="475"/>
      <c r="C1678" s="916"/>
      <c r="D1678" s="916"/>
      <c r="E1678" s="905"/>
      <c r="F1678" s="841"/>
      <c r="G1678" s="841"/>
      <c r="H1678" s="840">
        <f t="shared" si="52"/>
        <v>0</v>
      </c>
      <c r="I1678" s="840">
        <f t="shared" si="53"/>
        <v>0</v>
      </c>
    </row>
    <row r="1679" spans="1:9" s="302" customFormat="1" hidden="1">
      <c r="A1679" s="1068"/>
      <c r="B1679" s="475"/>
      <c r="C1679" s="916"/>
      <c r="D1679" s="916"/>
      <c r="E1679" s="905"/>
      <c r="F1679" s="841"/>
      <c r="G1679" s="841"/>
      <c r="H1679" s="840">
        <f t="shared" si="52"/>
        <v>0</v>
      </c>
      <c r="I1679" s="840">
        <f t="shared" si="53"/>
        <v>0</v>
      </c>
    </row>
    <row r="1680" spans="1:9" s="302" customFormat="1" hidden="1">
      <c r="A1680" s="1068"/>
      <c r="B1680" s="475"/>
      <c r="C1680" s="916"/>
      <c r="D1680" s="916"/>
      <c r="E1680" s="905"/>
      <c r="F1680" s="841"/>
      <c r="G1680" s="841"/>
      <c r="H1680" s="840">
        <f t="shared" si="52"/>
        <v>0</v>
      </c>
      <c r="I1680" s="840">
        <f t="shared" si="53"/>
        <v>0</v>
      </c>
    </row>
    <row r="1681" spans="1:9" s="302" customFormat="1" hidden="1">
      <c r="A1681" s="1068"/>
      <c r="B1681" s="475"/>
      <c r="C1681" s="916"/>
      <c r="D1681" s="916"/>
      <c r="E1681" s="905"/>
      <c r="F1681" s="841"/>
      <c r="G1681" s="841"/>
      <c r="H1681" s="840">
        <f t="shared" si="52"/>
        <v>0</v>
      </c>
      <c r="I1681" s="840">
        <f t="shared" si="53"/>
        <v>0</v>
      </c>
    </row>
    <row r="1682" spans="1:9" s="302" customFormat="1" hidden="1">
      <c r="A1682" s="1068"/>
      <c r="B1682" s="475"/>
      <c r="C1682" s="916"/>
      <c r="D1682" s="916"/>
      <c r="E1682" s="905"/>
      <c r="F1682" s="841"/>
      <c r="G1682" s="841"/>
      <c r="H1682" s="840">
        <f t="shared" si="52"/>
        <v>0</v>
      </c>
      <c r="I1682" s="840">
        <f t="shared" si="53"/>
        <v>0</v>
      </c>
    </row>
    <row r="1683" spans="1:9" s="302" customFormat="1" hidden="1">
      <c r="A1683" s="1068"/>
      <c r="B1683" s="475"/>
      <c r="C1683" s="916"/>
      <c r="D1683" s="916"/>
      <c r="E1683" s="905"/>
      <c r="F1683" s="841"/>
      <c r="G1683" s="841"/>
      <c r="H1683" s="840">
        <f t="shared" si="52"/>
        <v>0</v>
      </c>
      <c r="I1683" s="840">
        <f t="shared" si="53"/>
        <v>0</v>
      </c>
    </row>
    <row r="1684" spans="1:9" s="302" customFormat="1" hidden="1">
      <c r="A1684" s="1068"/>
      <c r="B1684" s="475"/>
      <c r="C1684" s="916"/>
      <c r="D1684" s="916"/>
      <c r="E1684" s="905"/>
      <c r="F1684" s="841"/>
      <c r="G1684" s="841"/>
      <c r="H1684" s="840">
        <f t="shared" si="52"/>
        <v>0</v>
      </c>
      <c r="I1684" s="840">
        <f t="shared" si="53"/>
        <v>0</v>
      </c>
    </row>
    <row r="1685" spans="1:9" s="302" customFormat="1" hidden="1">
      <c r="A1685" s="1071"/>
      <c r="B1685" s="475"/>
      <c r="C1685" s="916"/>
      <c r="D1685" s="916"/>
      <c r="E1685" s="905"/>
      <c r="F1685" s="841"/>
      <c r="G1685" s="841"/>
      <c r="H1685" s="840">
        <f t="shared" si="52"/>
        <v>0</v>
      </c>
      <c r="I1685" s="840">
        <f t="shared" si="53"/>
        <v>0</v>
      </c>
    </row>
    <row r="1686" spans="1:9" s="302" customFormat="1" hidden="1">
      <c r="A1686" s="1071"/>
      <c r="B1686" s="475"/>
      <c r="C1686" s="916"/>
      <c r="D1686" s="916"/>
      <c r="E1686" s="905"/>
      <c r="F1686" s="841"/>
      <c r="G1686" s="841"/>
      <c r="H1686" s="840">
        <f t="shared" si="52"/>
        <v>0</v>
      </c>
      <c r="I1686" s="840">
        <f t="shared" si="53"/>
        <v>0</v>
      </c>
    </row>
    <row r="1687" spans="1:9" s="302" customFormat="1" hidden="1">
      <c r="A1687" s="1071"/>
      <c r="B1687" s="475"/>
      <c r="C1687" s="916"/>
      <c r="D1687" s="916"/>
      <c r="E1687" s="905"/>
      <c r="F1687" s="841"/>
      <c r="G1687" s="841"/>
      <c r="H1687" s="840">
        <f t="shared" si="52"/>
        <v>0</v>
      </c>
      <c r="I1687" s="840">
        <f t="shared" si="53"/>
        <v>0</v>
      </c>
    </row>
    <row r="1688" spans="1:9" s="302" customFormat="1" hidden="1">
      <c r="A1688" s="1071"/>
      <c r="B1688" s="475"/>
      <c r="C1688" s="916"/>
      <c r="D1688" s="916"/>
      <c r="E1688" s="905"/>
      <c r="F1688" s="841"/>
      <c r="G1688" s="841"/>
      <c r="H1688" s="840">
        <f t="shared" si="52"/>
        <v>0</v>
      </c>
      <c r="I1688" s="840">
        <f t="shared" si="53"/>
        <v>0</v>
      </c>
    </row>
    <row r="1689" spans="1:9" s="302" customFormat="1" hidden="1">
      <c r="A1689" s="1071"/>
      <c r="B1689" s="475"/>
      <c r="C1689" s="916"/>
      <c r="D1689" s="916"/>
      <c r="E1689" s="905"/>
      <c r="F1689" s="841"/>
      <c r="G1689" s="841"/>
      <c r="H1689" s="840">
        <f t="shared" si="52"/>
        <v>0</v>
      </c>
      <c r="I1689" s="840">
        <f t="shared" si="53"/>
        <v>0</v>
      </c>
    </row>
    <row r="1690" spans="1:9" s="302" customFormat="1" hidden="1">
      <c r="A1690" s="1071"/>
      <c r="B1690" s="475"/>
      <c r="C1690" s="916"/>
      <c r="D1690" s="916"/>
      <c r="E1690" s="905"/>
      <c r="F1690" s="841"/>
      <c r="G1690" s="841"/>
      <c r="H1690" s="840">
        <f t="shared" si="52"/>
        <v>0</v>
      </c>
      <c r="I1690" s="840">
        <f t="shared" si="53"/>
        <v>0</v>
      </c>
    </row>
    <row r="1691" spans="1:9" s="302" customFormat="1" hidden="1">
      <c r="A1691" s="1071"/>
      <c r="B1691" s="475"/>
      <c r="C1691" s="916"/>
      <c r="D1691" s="916"/>
      <c r="E1691" s="905"/>
      <c r="F1691" s="841"/>
      <c r="G1691" s="841"/>
      <c r="H1691" s="840">
        <f t="shared" si="52"/>
        <v>0</v>
      </c>
      <c r="I1691" s="840">
        <f t="shared" si="53"/>
        <v>0</v>
      </c>
    </row>
    <row r="1692" spans="1:9" s="302" customFormat="1" hidden="1">
      <c r="A1692" s="1071"/>
      <c r="B1692" s="475"/>
      <c r="C1692" s="916"/>
      <c r="D1692" s="916"/>
      <c r="E1692" s="905"/>
      <c r="F1692" s="841"/>
      <c r="G1692" s="841"/>
      <c r="H1692" s="840">
        <f t="shared" si="52"/>
        <v>0</v>
      </c>
      <c r="I1692" s="840">
        <f t="shared" si="53"/>
        <v>0</v>
      </c>
    </row>
    <row r="1693" spans="1:9" s="302" customFormat="1" hidden="1">
      <c r="A1693" s="1071"/>
      <c r="B1693" s="475"/>
      <c r="C1693" s="916"/>
      <c r="D1693" s="916"/>
      <c r="E1693" s="905"/>
      <c r="F1693" s="841"/>
      <c r="G1693" s="841"/>
      <c r="H1693" s="840">
        <f t="shared" si="52"/>
        <v>0</v>
      </c>
      <c r="I1693" s="840">
        <f t="shared" si="53"/>
        <v>0</v>
      </c>
    </row>
    <row r="1694" spans="1:9" s="302" customFormat="1" hidden="1">
      <c r="A1694" s="1071"/>
      <c r="B1694" s="475"/>
      <c r="C1694" s="916"/>
      <c r="D1694" s="916"/>
      <c r="E1694" s="905"/>
      <c r="F1694" s="841"/>
      <c r="G1694" s="841"/>
      <c r="H1694" s="840">
        <f t="shared" si="52"/>
        <v>0</v>
      </c>
      <c r="I1694" s="840">
        <f t="shared" si="53"/>
        <v>0</v>
      </c>
    </row>
    <row r="1695" spans="1:9" s="302" customFormat="1" hidden="1">
      <c r="A1695" s="1071"/>
      <c r="B1695" s="475"/>
      <c r="C1695" s="916"/>
      <c r="D1695" s="916"/>
      <c r="E1695" s="905"/>
      <c r="F1695" s="841"/>
      <c r="G1695" s="841"/>
      <c r="H1695" s="840">
        <f t="shared" si="52"/>
        <v>0</v>
      </c>
      <c r="I1695" s="840">
        <f t="shared" si="53"/>
        <v>0</v>
      </c>
    </row>
    <row r="1696" spans="1:9" s="302" customFormat="1" hidden="1">
      <c r="A1696" s="1071"/>
      <c r="B1696" s="475"/>
      <c r="C1696" s="916"/>
      <c r="D1696" s="916"/>
      <c r="E1696" s="905"/>
      <c r="F1696" s="841"/>
      <c r="G1696" s="841"/>
      <c r="H1696" s="840">
        <f t="shared" si="52"/>
        <v>0</v>
      </c>
      <c r="I1696" s="840">
        <f t="shared" si="53"/>
        <v>0</v>
      </c>
    </row>
    <row r="1697" spans="1:9" s="302" customFormat="1" hidden="1">
      <c r="A1697" s="1071"/>
      <c r="B1697" s="475"/>
      <c r="C1697" s="916"/>
      <c r="D1697" s="916"/>
      <c r="E1697" s="905"/>
      <c r="F1697" s="841"/>
      <c r="G1697" s="841"/>
      <c r="H1697" s="840">
        <f t="shared" si="52"/>
        <v>0</v>
      </c>
      <c r="I1697" s="840">
        <f t="shared" si="53"/>
        <v>0</v>
      </c>
    </row>
    <row r="1698" spans="1:9" s="302" customFormat="1" hidden="1">
      <c r="A1698" s="1071"/>
      <c r="B1698" s="475"/>
      <c r="C1698" s="916"/>
      <c r="D1698" s="916"/>
      <c r="E1698" s="905"/>
      <c r="F1698" s="841"/>
      <c r="G1698" s="841"/>
      <c r="H1698" s="840">
        <f t="shared" si="52"/>
        <v>0</v>
      </c>
      <c r="I1698" s="840">
        <f t="shared" si="53"/>
        <v>0</v>
      </c>
    </row>
    <row r="1699" spans="1:9" s="302" customFormat="1" hidden="1">
      <c r="A1699" s="1071"/>
      <c r="B1699" s="475"/>
      <c r="C1699" s="916"/>
      <c r="D1699" s="916"/>
      <c r="E1699" s="905"/>
      <c r="F1699" s="841"/>
      <c r="G1699" s="841"/>
      <c r="H1699" s="840">
        <f t="shared" si="52"/>
        <v>0</v>
      </c>
      <c r="I1699" s="840">
        <f t="shared" si="53"/>
        <v>0</v>
      </c>
    </row>
    <row r="1700" spans="1:9" s="302" customFormat="1" hidden="1">
      <c r="A1700" s="1071"/>
      <c r="B1700" s="475"/>
      <c r="C1700" s="916"/>
      <c r="D1700" s="916"/>
      <c r="E1700" s="905"/>
      <c r="F1700" s="841"/>
      <c r="G1700" s="841"/>
      <c r="H1700" s="840">
        <f t="shared" si="52"/>
        <v>0</v>
      </c>
      <c r="I1700" s="840">
        <f t="shared" si="53"/>
        <v>0</v>
      </c>
    </row>
    <row r="1701" spans="1:9" s="302" customFormat="1" hidden="1">
      <c r="A1701" s="1071"/>
      <c r="B1701" s="475"/>
      <c r="C1701" s="916"/>
      <c r="D1701" s="916"/>
      <c r="E1701" s="905"/>
      <c r="F1701" s="841"/>
      <c r="G1701" s="841"/>
      <c r="H1701" s="840">
        <f t="shared" si="52"/>
        <v>0</v>
      </c>
      <c r="I1701" s="840">
        <f t="shared" si="53"/>
        <v>0</v>
      </c>
    </row>
    <row r="1702" spans="1:9" s="302" customFormat="1" hidden="1">
      <c r="A1702" s="1071"/>
      <c r="B1702" s="475"/>
      <c r="C1702" s="916"/>
      <c r="D1702" s="916"/>
      <c r="E1702" s="905"/>
      <c r="F1702" s="841"/>
      <c r="G1702" s="841"/>
      <c r="H1702" s="840">
        <f t="shared" si="52"/>
        <v>0</v>
      </c>
      <c r="I1702" s="840">
        <f t="shared" si="53"/>
        <v>0</v>
      </c>
    </row>
    <row r="1703" spans="1:9" s="302" customFormat="1" hidden="1">
      <c r="A1703" s="1071"/>
      <c r="B1703" s="475"/>
      <c r="C1703" s="916"/>
      <c r="D1703" s="916"/>
      <c r="E1703" s="905"/>
      <c r="F1703" s="841"/>
      <c r="G1703" s="841"/>
      <c r="H1703" s="840">
        <f t="shared" si="52"/>
        <v>0</v>
      </c>
      <c r="I1703" s="840">
        <f t="shared" si="53"/>
        <v>0</v>
      </c>
    </row>
    <row r="1704" spans="1:9" s="302" customFormat="1" hidden="1">
      <c r="A1704" s="1071"/>
      <c r="B1704" s="475"/>
      <c r="C1704" s="916"/>
      <c r="D1704" s="916"/>
      <c r="E1704" s="905"/>
      <c r="F1704" s="841"/>
      <c r="G1704" s="841"/>
      <c r="H1704" s="840">
        <f t="shared" si="52"/>
        <v>0</v>
      </c>
      <c r="I1704" s="840">
        <f t="shared" si="53"/>
        <v>0</v>
      </c>
    </row>
    <row r="1705" spans="1:9" s="302" customFormat="1" hidden="1">
      <c r="A1705" s="1071"/>
      <c r="B1705" s="475"/>
      <c r="C1705" s="916"/>
      <c r="D1705" s="916"/>
      <c r="E1705" s="905"/>
      <c r="F1705" s="841"/>
      <c r="G1705" s="841"/>
      <c r="H1705" s="840">
        <f t="shared" si="52"/>
        <v>0</v>
      </c>
      <c r="I1705" s="840">
        <f t="shared" si="53"/>
        <v>0</v>
      </c>
    </row>
    <row r="1706" spans="1:9" s="302" customFormat="1" hidden="1">
      <c r="A1706" s="1071"/>
      <c r="B1706" s="475"/>
      <c r="C1706" s="916"/>
      <c r="D1706" s="916"/>
      <c r="E1706" s="905"/>
      <c r="F1706" s="841"/>
      <c r="G1706" s="841"/>
      <c r="H1706" s="840">
        <f t="shared" si="52"/>
        <v>0</v>
      </c>
      <c r="I1706" s="840">
        <f t="shared" si="53"/>
        <v>0</v>
      </c>
    </row>
    <row r="1707" spans="1:9" s="302" customFormat="1" hidden="1">
      <c r="A1707" s="1071"/>
      <c r="B1707" s="475"/>
      <c r="C1707" s="905"/>
      <c r="D1707" s="905"/>
      <c r="E1707" s="905"/>
      <c r="F1707" s="841"/>
      <c r="G1707" s="841"/>
      <c r="H1707" s="840">
        <f t="shared" si="52"/>
        <v>0</v>
      </c>
      <c r="I1707" s="840">
        <f t="shared" si="53"/>
        <v>0</v>
      </c>
    </row>
    <row r="1708" spans="1:9" s="302" customFormat="1" hidden="1">
      <c r="A1708" s="1071"/>
      <c r="B1708" s="475"/>
      <c r="C1708" s="905"/>
      <c r="D1708" s="905"/>
      <c r="E1708" s="905"/>
      <c r="F1708" s="841"/>
      <c r="G1708" s="841"/>
      <c r="H1708" s="840">
        <f t="shared" si="52"/>
        <v>0</v>
      </c>
      <c r="I1708" s="840">
        <f t="shared" si="53"/>
        <v>0</v>
      </c>
    </row>
    <row r="1709" spans="1:9" s="302" customFormat="1" hidden="1">
      <c r="A1709" s="1071"/>
      <c r="B1709" s="475"/>
      <c r="C1709" s="905"/>
      <c r="D1709" s="905"/>
      <c r="E1709" s="905"/>
      <c r="F1709" s="841"/>
      <c r="G1709" s="841"/>
      <c r="H1709" s="840">
        <f t="shared" si="52"/>
        <v>0</v>
      </c>
      <c r="I1709" s="840">
        <f t="shared" si="53"/>
        <v>0</v>
      </c>
    </row>
    <row r="1710" spans="1:9" s="302" customFormat="1" hidden="1">
      <c r="A1710" s="1071"/>
      <c r="B1710" s="475"/>
      <c r="C1710" s="905"/>
      <c r="D1710" s="905"/>
      <c r="E1710" s="905"/>
      <c r="F1710" s="841"/>
      <c r="G1710" s="841"/>
      <c r="H1710" s="840">
        <f t="shared" si="52"/>
        <v>0</v>
      </c>
      <c r="I1710" s="840">
        <f t="shared" si="53"/>
        <v>0</v>
      </c>
    </row>
    <row r="1711" spans="1:9" s="302" customFormat="1" hidden="1">
      <c r="A1711" s="1071"/>
      <c r="B1711" s="475"/>
      <c r="C1711" s="905"/>
      <c r="D1711" s="905"/>
      <c r="E1711" s="905"/>
      <c r="F1711" s="841"/>
      <c r="G1711" s="841"/>
      <c r="H1711" s="840">
        <f t="shared" si="52"/>
        <v>0</v>
      </c>
      <c r="I1711" s="840">
        <f t="shared" si="53"/>
        <v>0</v>
      </c>
    </row>
    <row r="1712" spans="1:9" s="302" customFormat="1" hidden="1">
      <c r="A1712" s="1071"/>
      <c r="B1712" s="475"/>
      <c r="C1712" s="916"/>
      <c r="D1712" s="916"/>
      <c r="E1712" s="905"/>
      <c r="F1712" s="841"/>
      <c r="G1712" s="841"/>
      <c r="H1712" s="840">
        <f t="shared" si="52"/>
        <v>0</v>
      </c>
      <c r="I1712" s="840">
        <f t="shared" si="53"/>
        <v>0</v>
      </c>
    </row>
    <row r="1713" spans="1:9" s="302" customFormat="1" hidden="1">
      <c r="A1713" s="1071"/>
      <c r="B1713" s="475"/>
      <c r="C1713" s="916"/>
      <c r="D1713" s="916"/>
      <c r="E1713" s="905"/>
      <c r="F1713" s="841"/>
      <c r="G1713" s="841"/>
      <c r="H1713" s="840">
        <f t="shared" si="52"/>
        <v>0</v>
      </c>
      <c r="I1713" s="840">
        <f t="shared" si="53"/>
        <v>0</v>
      </c>
    </row>
    <row r="1714" spans="1:9" s="302" customFormat="1" hidden="1">
      <c r="A1714" s="1071"/>
      <c r="B1714" s="899"/>
      <c r="C1714" s="916"/>
      <c r="D1714" s="916"/>
      <c r="E1714" s="905"/>
      <c r="F1714" s="841"/>
      <c r="G1714" s="841"/>
      <c r="H1714" s="840">
        <f t="shared" si="52"/>
        <v>0</v>
      </c>
      <c r="I1714" s="840">
        <f t="shared" si="53"/>
        <v>0</v>
      </c>
    </row>
    <row r="1715" spans="1:9" s="302" customFormat="1" hidden="1">
      <c r="A1715" s="1071"/>
      <c r="B1715" s="899"/>
      <c r="C1715" s="916"/>
      <c r="D1715" s="916"/>
      <c r="E1715" s="905"/>
      <c r="F1715" s="841"/>
      <c r="G1715" s="841"/>
      <c r="H1715" s="840">
        <f t="shared" si="52"/>
        <v>0</v>
      </c>
      <c r="I1715" s="840">
        <f t="shared" si="53"/>
        <v>0</v>
      </c>
    </row>
    <row r="1716" spans="1:9" s="302" customFormat="1" hidden="1">
      <c r="A1716" s="1071"/>
      <c r="B1716" s="899"/>
      <c r="C1716" s="916"/>
      <c r="D1716" s="916"/>
      <c r="E1716" s="905"/>
      <c r="F1716" s="841"/>
      <c r="G1716" s="841"/>
      <c r="H1716" s="840">
        <f t="shared" si="52"/>
        <v>0</v>
      </c>
      <c r="I1716" s="840">
        <f t="shared" si="53"/>
        <v>0</v>
      </c>
    </row>
    <row r="1717" spans="1:9" s="302" customFormat="1" hidden="1">
      <c r="A1717" s="1071"/>
      <c r="B1717" s="475"/>
      <c r="C1717" s="916"/>
      <c r="D1717" s="916"/>
      <c r="E1717" s="905"/>
      <c r="F1717" s="841"/>
      <c r="G1717" s="841"/>
      <c r="H1717" s="840">
        <f t="shared" si="52"/>
        <v>0</v>
      </c>
      <c r="I1717" s="840">
        <f t="shared" si="53"/>
        <v>0</v>
      </c>
    </row>
    <row r="1718" spans="1:9" s="302" customFormat="1" hidden="1">
      <c r="A1718" s="1071"/>
      <c r="B1718" s="475"/>
      <c r="C1718" s="916"/>
      <c r="D1718" s="916"/>
      <c r="E1718" s="905"/>
      <c r="F1718" s="841"/>
      <c r="G1718" s="841"/>
      <c r="H1718" s="840">
        <f t="shared" si="52"/>
        <v>0</v>
      </c>
      <c r="I1718" s="840">
        <f t="shared" si="53"/>
        <v>0</v>
      </c>
    </row>
    <row r="1719" spans="1:9" s="302" customFormat="1" hidden="1">
      <c r="A1719" s="1071"/>
      <c r="B1719" s="475"/>
      <c r="C1719" s="916"/>
      <c r="D1719" s="916"/>
      <c r="E1719" s="905"/>
      <c r="F1719" s="841"/>
      <c r="G1719" s="841"/>
      <c r="H1719" s="840">
        <f t="shared" si="52"/>
        <v>0</v>
      </c>
      <c r="I1719" s="840">
        <f t="shared" si="53"/>
        <v>0</v>
      </c>
    </row>
    <row r="1720" spans="1:9" s="302" customFormat="1" hidden="1">
      <c r="A1720" s="1071"/>
      <c r="B1720" s="475"/>
      <c r="C1720" s="916"/>
      <c r="D1720" s="916"/>
      <c r="E1720" s="905"/>
      <c r="F1720" s="841"/>
      <c r="G1720" s="841"/>
      <c r="H1720" s="840">
        <f t="shared" si="52"/>
        <v>0</v>
      </c>
      <c r="I1720" s="840">
        <f t="shared" si="53"/>
        <v>0</v>
      </c>
    </row>
    <row r="1721" spans="1:9" s="302" customFormat="1" hidden="1">
      <c r="A1721" s="1071"/>
      <c r="B1721" s="475"/>
      <c r="C1721" s="916"/>
      <c r="D1721" s="916"/>
      <c r="E1721" s="905"/>
      <c r="F1721" s="841"/>
      <c r="G1721" s="841"/>
      <c r="H1721" s="840">
        <f t="shared" si="52"/>
        <v>0</v>
      </c>
      <c r="I1721" s="840">
        <f t="shared" si="53"/>
        <v>0</v>
      </c>
    </row>
    <row r="1722" spans="1:9" s="302" customFormat="1" hidden="1">
      <c r="A1722" s="1071"/>
      <c r="B1722" s="475"/>
      <c r="C1722" s="916"/>
      <c r="D1722" s="916"/>
      <c r="E1722" s="905"/>
      <c r="F1722" s="841"/>
      <c r="G1722" s="841"/>
      <c r="H1722" s="840">
        <f t="shared" si="52"/>
        <v>0</v>
      </c>
      <c r="I1722" s="840">
        <f t="shared" si="53"/>
        <v>0</v>
      </c>
    </row>
    <row r="1723" spans="1:9" s="302" customFormat="1" hidden="1">
      <c r="A1723" s="1071"/>
      <c r="B1723" s="475"/>
      <c r="C1723" s="916"/>
      <c r="D1723" s="916"/>
      <c r="E1723" s="905"/>
      <c r="F1723" s="841"/>
      <c r="G1723" s="841"/>
      <c r="H1723" s="840">
        <f t="shared" si="52"/>
        <v>0</v>
      </c>
      <c r="I1723" s="840">
        <f t="shared" si="53"/>
        <v>0</v>
      </c>
    </row>
    <row r="1724" spans="1:9" s="302" customFormat="1" hidden="1">
      <c r="A1724" s="1071"/>
      <c r="B1724" s="475"/>
      <c r="C1724" s="916"/>
      <c r="D1724" s="916"/>
      <c r="E1724" s="905"/>
      <c r="F1724" s="841"/>
      <c r="G1724" s="841"/>
      <c r="H1724" s="840">
        <f t="shared" si="52"/>
        <v>0</v>
      </c>
      <c r="I1724" s="840">
        <f t="shared" si="53"/>
        <v>0</v>
      </c>
    </row>
    <row r="1725" spans="1:9" s="302" customFormat="1" hidden="1">
      <c r="A1725" s="1071"/>
      <c r="B1725" s="475"/>
      <c r="C1725" s="916"/>
      <c r="D1725" s="916"/>
      <c r="E1725" s="905"/>
      <c r="F1725" s="841"/>
      <c r="G1725" s="841"/>
      <c r="H1725" s="840">
        <f t="shared" si="52"/>
        <v>0</v>
      </c>
      <c r="I1725" s="840">
        <f t="shared" si="53"/>
        <v>0</v>
      </c>
    </row>
    <row r="1726" spans="1:9" s="302" customFormat="1" hidden="1">
      <c r="A1726" s="1071"/>
      <c r="B1726" s="475"/>
      <c r="C1726" s="916"/>
      <c r="D1726" s="916"/>
      <c r="E1726" s="905"/>
      <c r="F1726" s="841"/>
      <c r="G1726" s="841"/>
      <c r="H1726" s="840">
        <f t="shared" si="52"/>
        <v>0</v>
      </c>
      <c r="I1726" s="840">
        <f t="shared" si="53"/>
        <v>0</v>
      </c>
    </row>
    <row r="1727" spans="1:9" s="302" customFormat="1" hidden="1">
      <c r="A1727" s="1071"/>
      <c r="B1727" s="475"/>
      <c r="C1727" s="916"/>
      <c r="D1727" s="916"/>
      <c r="E1727" s="905"/>
      <c r="F1727" s="841"/>
      <c r="G1727" s="841"/>
      <c r="H1727" s="840">
        <f t="shared" si="52"/>
        <v>0</v>
      </c>
      <c r="I1727" s="840">
        <f t="shared" si="53"/>
        <v>0</v>
      </c>
    </row>
    <row r="1728" spans="1:9" s="302" customFormat="1" hidden="1">
      <c r="A1728" s="1071"/>
      <c r="B1728" s="475"/>
      <c r="C1728" s="916"/>
      <c r="D1728" s="916"/>
      <c r="E1728" s="905"/>
      <c r="F1728" s="841"/>
      <c r="G1728" s="841"/>
      <c r="H1728" s="840">
        <f t="shared" si="52"/>
        <v>0</v>
      </c>
      <c r="I1728" s="840">
        <f t="shared" si="53"/>
        <v>0</v>
      </c>
    </row>
    <row r="1729" spans="1:9" s="302" customFormat="1" hidden="1">
      <c r="A1729" s="1071"/>
      <c r="B1729" s="475"/>
      <c r="C1729" s="916"/>
      <c r="D1729" s="916"/>
      <c r="E1729" s="905"/>
      <c r="F1729" s="841"/>
      <c r="G1729" s="841"/>
      <c r="H1729" s="840">
        <f t="shared" si="52"/>
        <v>0</v>
      </c>
      <c r="I1729" s="840">
        <f t="shared" si="53"/>
        <v>0</v>
      </c>
    </row>
    <row r="1730" spans="1:9" s="302" customFormat="1" hidden="1">
      <c r="A1730" s="1071"/>
      <c r="B1730" s="475"/>
      <c r="C1730" s="916"/>
      <c r="D1730" s="916"/>
      <c r="E1730" s="905"/>
      <c r="F1730" s="841"/>
      <c r="G1730" s="841"/>
      <c r="H1730" s="840">
        <f t="shared" si="52"/>
        <v>0</v>
      </c>
      <c r="I1730" s="840">
        <f t="shared" si="53"/>
        <v>0</v>
      </c>
    </row>
    <row r="1731" spans="1:9" s="302" customFormat="1" hidden="1">
      <c r="A1731" s="1071"/>
      <c r="B1731" s="475"/>
      <c r="C1731" s="916"/>
      <c r="D1731" s="916"/>
      <c r="E1731" s="905"/>
      <c r="F1731" s="841"/>
      <c r="G1731" s="841"/>
      <c r="H1731" s="840">
        <f t="shared" si="52"/>
        <v>0</v>
      </c>
      <c r="I1731" s="840">
        <f t="shared" si="53"/>
        <v>0</v>
      </c>
    </row>
    <row r="1732" spans="1:9" s="302" customFormat="1" hidden="1">
      <c r="A1732" s="1071"/>
      <c r="B1732" s="475"/>
      <c r="C1732" s="916"/>
      <c r="D1732" s="916"/>
      <c r="E1732" s="905"/>
      <c r="F1732" s="841"/>
      <c r="G1732" s="841"/>
      <c r="H1732" s="840">
        <f t="shared" si="52"/>
        <v>0</v>
      </c>
      <c r="I1732" s="840">
        <f t="shared" si="53"/>
        <v>0</v>
      </c>
    </row>
    <row r="1733" spans="1:9" s="302" customFormat="1" hidden="1">
      <c r="A1733" s="1071"/>
      <c r="B1733" s="475"/>
      <c r="C1733" s="916"/>
      <c r="D1733" s="916"/>
      <c r="E1733" s="905"/>
      <c r="F1733" s="841"/>
      <c r="G1733" s="841"/>
      <c r="H1733" s="840">
        <f t="shared" si="52"/>
        <v>0</v>
      </c>
      <c r="I1733" s="840">
        <f t="shared" si="53"/>
        <v>0</v>
      </c>
    </row>
    <row r="1734" spans="1:9" s="302" customFormat="1" hidden="1">
      <c r="A1734" s="1071"/>
      <c r="B1734" s="475"/>
      <c r="C1734" s="916"/>
      <c r="D1734" s="916"/>
      <c r="E1734" s="905"/>
      <c r="F1734" s="841"/>
      <c r="G1734" s="841"/>
      <c r="H1734" s="840">
        <f t="shared" si="52"/>
        <v>0</v>
      </c>
      <c r="I1734" s="840">
        <f t="shared" si="53"/>
        <v>0</v>
      </c>
    </row>
    <row r="1735" spans="1:9" s="302" customFormat="1" hidden="1">
      <c r="A1735" s="1071"/>
      <c r="B1735" s="475"/>
      <c r="C1735" s="916"/>
      <c r="D1735" s="916"/>
      <c r="E1735" s="905"/>
      <c r="F1735" s="841"/>
      <c r="G1735" s="841"/>
      <c r="H1735" s="840">
        <f t="shared" si="52"/>
        <v>0</v>
      </c>
      <c r="I1735" s="840">
        <f t="shared" si="53"/>
        <v>0</v>
      </c>
    </row>
    <row r="1736" spans="1:9" s="302" customFormat="1" hidden="1">
      <c r="A1736" s="1071"/>
      <c r="B1736" s="475"/>
      <c r="C1736" s="916"/>
      <c r="D1736" s="916"/>
      <c r="E1736" s="905"/>
      <c r="F1736" s="841"/>
      <c r="G1736" s="841"/>
      <c r="H1736" s="840">
        <f t="shared" si="52"/>
        <v>0</v>
      </c>
      <c r="I1736" s="840">
        <f t="shared" si="53"/>
        <v>0</v>
      </c>
    </row>
    <row r="1737" spans="1:9" s="302" customFormat="1" hidden="1">
      <c r="A1737" s="1071"/>
      <c r="B1737" s="475"/>
      <c r="C1737" s="916"/>
      <c r="D1737" s="916"/>
      <c r="E1737" s="905"/>
      <c r="F1737" s="841"/>
      <c r="G1737" s="841"/>
      <c r="H1737" s="840">
        <f t="shared" ref="H1737:H1800" si="54">E1737+D1737-C1737</f>
        <v>0</v>
      </c>
      <c r="I1737" s="840">
        <f t="shared" ref="I1737:I1800" si="55">SUM(C1737:E1737)</f>
        <v>0</v>
      </c>
    </row>
    <row r="1738" spans="1:9" s="302" customFormat="1" hidden="1">
      <c r="A1738" s="1071"/>
      <c r="B1738" s="475"/>
      <c r="C1738" s="916"/>
      <c r="D1738" s="916"/>
      <c r="E1738" s="905"/>
      <c r="F1738" s="841"/>
      <c r="G1738" s="841"/>
      <c r="H1738" s="840">
        <f t="shared" si="54"/>
        <v>0</v>
      </c>
      <c r="I1738" s="840">
        <f t="shared" si="55"/>
        <v>0</v>
      </c>
    </row>
    <row r="1739" spans="1:9" s="302" customFormat="1" hidden="1">
      <c r="A1739" s="1071"/>
      <c r="B1739" s="475"/>
      <c r="C1739" s="916"/>
      <c r="D1739" s="916"/>
      <c r="E1739" s="905"/>
      <c r="F1739" s="841"/>
      <c r="G1739" s="841"/>
      <c r="H1739" s="840">
        <f t="shared" si="54"/>
        <v>0</v>
      </c>
      <c r="I1739" s="840">
        <f t="shared" si="55"/>
        <v>0</v>
      </c>
    </row>
    <row r="1740" spans="1:9" s="302" customFormat="1" hidden="1">
      <c r="A1740" s="1071"/>
      <c r="B1740" s="475"/>
      <c r="C1740" s="916"/>
      <c r="D1740" s="916"/>
      <c r="E1740" s="905"/>
      <c r="F1740" s="841"/>
      <c r="G1740" s="841"/>
      <c r="H1740" s="840">
        <f t="shared" si="54"/>
        <v>0</v>
      </c>
      <c r="I1740" s="840">
        <f t="shared" si="55"/>
        <v>0</v>
      </c>
    </row>
    <row r="1741" spans="1:9" s="302" customFormat="1" hidden="1">
      <c r="A1741" s="1071"/>
      <c r="B1741" s="475"/>
      <c r="C1741" s="916"/>
      <c r="D1741" s="916"/>
      <c r="E1741" s="905"/>
      <c r="F1741" s="841"/>
      <c r="G1741" s="841"/>
      <c r="H1741" s="840">
        <f t="shared" si="54"/>
        <v>0</v>
      </c>
      <c r="I1741" s="840">
        <f t="shared" si="55"/>
        <v>0</v>
      </c>
    </row>
    <row r="1742" spans="1:9" s="302" customFormat="1" hidden="1">
      <c r="A1742" s="1071"/>
      <c r="B1742" s="475"/>
      <c r="C1742" s="916"/>
      <c r="D1742" s="916"/>
      <c r="E1742" s="905"/>
      <c r="F1742" s="841"/>
      <c r="G1742" s="841"/>
      <c r="H1742" s="840">
        <f t="shared" si="54"/>
        <v>0</v>
      </c>
      <c r="I1742" s="840">
        <f t="shared" si="55"/>
        <v>0</v>
      </c>
    </row>
    <row r="1743" spans="1:9" s="302" customFormat="1" hidden="1">
      <c r="A1743" s="1071"/>
      <c r="B1743" s="475"/>
      <c r="C1743" s="916"/>
      <c r="D1743" s="916"/>
      <c r="E1743" s="905"/>
      <c r="F1743" s="841"/>
      <c r="G1743" s="841"/>
      <c r="H1743" s="840">
        <f t="shared" si="54"/>
        <v>0</v>
      </c>
      <c r="I1743" s="840">
        <f t="shared" si="55"/>
        <v>0</v>
      </c>
    </row>
    <row r="1744" spans="1:9" s="302" customFormat="1" hidden="1">
      <c r="A1744" s="1071"/>
      <c r="B1744" s="475"/>
      <c r="C1744" s="916"/>
      <c r="D1744" s="916"/>
      <c r="E1744" s="905"/>
      <c r="F1744" s="841"/>
      <c r="G1744" s="841"/>
      <c r="H1744" s="840">
        <f t="shared" si="54"/>
        <v>0</v>
      </c>
      <c r="I1744" s="840">
        <f t="shared" si="55"/>
        <v>0</v>
      </c>
    </row>
    <row r="1745" spans="1:9" s="302" customFormat="1" hidden="1">
      <c r="A1745" s="1071"/>
      <c r="B1745" s="475"/>
      <c r="C1745" s="916"/>
      <c r="D1745" s="916"/>
      <c r="E1745" s="905"/>
      <c r="F1745" s="841"/>
      <c r="G1745" s="841"/>
      <c r="H1745" s="840">
        <f t="shared" si="54"/>
        <v>0</v>
      </c>
      <c r="I1745" s="840">
        <f t="shared" si="55"/>
        <v>0</v>
      </c>
    </row>
    <row r="1746" spans="1:9" s="302" customFormat="1" hidden="1">
      <c r="A1746" s="1071"/>
      <c r="B1746" s="475"/>
      <c r="C1746" s="916"/>
      <c r="D1746" s="916"/>
      <c r="E1746" s="905"/>
      <c r="F1746" s="841"/>
      <c r="G1746" s="841"/>
      <c r="H1746" s="840">
        <f t="shared" si="54"/>
        <v>0</v>
      </c>
      <c r="I1746" s="840">
        <f t="shared" si="55"/>
        <v>0</v>
      </c>
    </row>
    <row r="1747" spans="1:9" s="302" customFormat="1" hidden="1">
      <c r="A1747" s="1071"/>
      <c r="B1747" s="475"/>
      <c r="C1747" s="916"/>
      <c r="D1747" s="916"/>
      <c r="E1747" s="905"/>
      <c r="F1747" s="841"/>
      <c r="G1747" s="841"/>
      <c r="H1747" s="840">
        <f t="shared" si="54"/>
        <v>0</v>
      </c>
      <c r="I1747" s="840">
        <f t="shared" si="55"/>
        <v>0</v>
      </c>
    </row>
    <row r="1748" spans="1:9" s="302" customFormat="1" hidden="1">
      <c r="A1748" s="1071"/>
      <c r="B1748" s="475"/>
      <c r="C1748" s="916"/>
      <c r="D1748" s="916"/>
      <c r="E1748" s="905"/>
      <c r="F1748" s="841"/>
      <c r="G1748" s="841"/>
      <c r="H1748" s="840">
        <f t="shared" si="54"/>
        <v>0</v>
      </c>
      <c r="I1748" s="840">
        <f t="shared" si="55"/>
        <v>0</v>
      </c>
    </row>
    <row r="1749" spans="1:9" s="302" customFormat="1" hidden="1">
      <c r="A1749" s="1071"/>
      <c r="B1749" s="475"/>
      <c r="C1749" s="916"/>
      <c r="D1749" s="916"/>
      <c r="E1749" s="905"/>
      <c r="F1749" s="841"/>
      <c r="G1749" s="841"/>
      <c r="H1749" s="840">
        <f t="shared" si="54"/>
        <v>0</v>
      </c>
      <c r="I1749" s="840">
        <f t="shared" si="55"/>
        <v>0</v>
      </c>
    </row>
    <row r="1750" spans="1:9" s="302" customFormat="1" hidden="1">
      <c r="A1750" s="1071"/>
      <c r="B1750" s="475"/>
      <c r="C1750" s="916"/>
      <c r="D1750" s="916"/>
      <c r="E1750" s="905"/>
      <c r="F1750" s="841"/>
      <c r="G1750" s="841"/>
      <c r="H1750" s="840">
        <f t="shared" si="54"/>
        <v>0</v>
      </c>
      <c r="I1750" s="840">
        <f t="shared" si="55"/>
        <v>0</v>
      </c>
    </row>
    <row r="1751" spans="1:9" s="302" customFormat="1" hidden="1">
      <c r="A1751" s="1071"/>
      <c r="B1751" s="475"/>
      <c r="C1751" s="916"/>
      <c r="D1751" s="916"/>
      <c r="E1751" s="905"/>
      <c r="F1751" s="841"/>
      <c r="G1751" s="841"/>
      <c r="H1751" s="840">
        <f t="shared" si="54"/>
        <v>0</v>
      </c>
      <c r="I1751" s="840">
        <f t="shared" si="55"/>
        <v>0</v>
      </c>
    </row>
    <row r="1752" spans="1:9" s="302" customFormat="1" hidden="1">
      <c r="A1752" s="1071"/>
      <c r="B1752" s="475"/>
      <c r="C1752" s="916"/>
      <c r="D1752" s="916"/>
      <c r="E1752" s="905"/>
      <c r="F1752" s="841"/>
      <c r="G1752" s="841"/>
      <c r="H1752" s="840">
        <f t="shared" si="54"/>
        <v>0</v>
      </c>
      <c r="I1752" s="840">
        <f t="shared" si="55"/>
        <v>0</v>
      </c>
    </row>
    <row r="1753" spans="1:9" s="302" customFormat="1" hidden="1">
      <c r="A1753" s="1071"/>
      <c r="B1753" s="475"/>
      <c r="C1753" s="916"/>
      <c r="D1753" s="916"/>
      <c r="E1753" s="905"/>
      <c r="F1753" s="841"/>
      <c r="G1753" s="841"/>
      <c r="H1753" s="840">
        <f t="shared" si="54"/>
        <v>0</v>
      </c>
      <c r="I1753" s="840">
        <f t="shared" si="55"/>
        <v>0</v>
      </c>
    </row>
    <row r="1754" spans="1:9" s="302" customFormat="1" hidden="1">
      <c r="A1754" s="1071"/>
      <c r="B1754" s="475"/>
      <c r="C1754" s="916"/>
      <c r="D1754" s="916"/>
      <c r="E1754" s="905"/>
      <c r="F1754" s="841"/>
      <c r="G1754" s="841"/>
      <c r="H1754" s="840">
        <f t="shared" si="54"/>
        <v>0</v>
      </c>
      <c r="I1754" s="840">
        <f t="shared" si="55"/>
        <v>0</v>
      </c>
    </row>
    <row r="1755" spans="1:9" s="302" customFormat="1" hidden="1">
      <c r="A1755" s="1071"/>
      <c r="B1755" s="475"/>
      <c r="C1755" s="916"/>
      <c r="D1755" s="916"/>
      <c r="E1755" s="905"/>
      <c r="F1755" s="841"/>
      <c r="G1755" s="841"/>
      <c r="H1755" s="840">
        <f t="shared" si="54"/>
        <v>0</v>
      </c>
      <c r="I1755" s="840">
        <f t="shared" si="55"/>
        <v>0</v>
      </c>
    </row>
    <row r="1756" spans="1:9" s="302" customFormat="1" hidden="1">
      <c r="A1756" s="1071"/>
      <c r="B1756" s="475"/>
      <c r="C1756" s="916"/>
      <c r="D1756" s="916"/>
      <c r="E1756" s="905"/>
      <c r="F1756" s="841"/>
      <c r="G1756" s="841"/>
      <c r="H1756" s="840">
        <f t="shared" si="54"/>
        <v>0</v>
      </c>
      <c r="I1756" s="840">
        <f t="shared" si="55"/>
        <v>0</v>
      </c>
    </row>
    <row r="1757" spans="1:9" s="302" customFormat="1" hidden="1">
      <c r="A1757" s="1071"/>
      <c r="B1757" s="475"/>
      <c r="C1757" s="916"/>
      <c r="D1757" s="916"/>
      <c r="E1757" s="905"/>
      <c r="F1757" s="841"/>
      <c r="G1757" s="841"/>
      <c r="H1757" s="840">
        <f t="shared" si="54"/>
        <v>0</v>
      </c>
      <c r="I1757" s="840">
        <f t="shared" si="55"/>
        <v>0</v>
      </c>
    </row>
    <row r="1758" spans="1:9" s="302" customFormat="1" hidden="1">
      <c r="A1758" s="1071"/>
      <c r="B1758" s="475"/>
      <c r="C1758" s="904"/>
      <c r="D1758" s="904"/>
      <c r="E1758" s="904"/>
      <c r="F1758" s="841"/>
      <c r="G1758" s="841"/>
      <c r="H1758" s="840">
        <f t="shared" si="54"/>
        <v>0</v>
      </c>
      <c r="I1758" s="840">
        <f t="shared" si="55"/>
        <v>0</v>
      </c>
    </row>
    <row r="1759" spans="1:9" s="302" customFormat="1" hidden="1">
      <c r="A1759" s="1071"/>
      <c r="B1759" s="475"/>
      <c r="C1759" s="904"/>
      <c r="D1759" s="904"/>
      <c r="E1759" s="904"/>
      <c r="F1759" s="841"/>
      <c r="G1759" s="841"/>
      <c r="H1759" s="840">
        <f t="shared" si="54"/>
        <v>0</v>
      </c>
      <c r="I1759" s="840">
        <f t="shared" si="55"/>
        <v>0</v>
      </c>
    </row>
    <row r="1760" spans="1:9" s="302" customFormat="1" hidden="1">
      <c r="A1760" s="1071"/>
      <c r="B1760" s="475"/>
      <c r="C1760" s="904"/>
      <c r="D1760" s="904"/>
      <c r="E1760" s="904"/>
      <c r="F1760" s="841"/>
      <c r="G1760" s="841"/>
      <c r="H1760" s="840">
        <f t="shared" si="54"/>
        <v>0</v>
      </c>
      <c r="I1760" s="840">
        <f t="shared" si="55"/>
        <v>0</v>
      </c>
    </row>
    <row r="1761" spans="1:9" s="302" customFormat="1" hidden="1">
      <c r="A1761" s="1071"/>
      <c r="B1761" s="475"/>
      <c r="C1761" s="904"/>
      <c r="D1761" s="904"/>
      <c r="E1761" s="904"/>
      <c r="F1761" s="841"/>
      <c r="G1761" s="841"/>
      <c r="H1761" s="840">
        <f t="shared" si="54"/>
        <v>0</v>
      </c>
      <c r="I1761" s="840">
        <f t="shared" si="55"/>
        <v>0</v>
      </c>
    </row>
    <row r="1762" spans="1:9" s="302" customFormat="1" hidden="1">
      <c r="A1762" s="1071"/>
      <c r="B1762" s="475"/>
      <c r="C1762" s="916"/>
      <c r="D1762" s="916"/>
      <c r="E1762" s="905"/>
      <c r="F1762" s="841"/>
      <c r="G1762" s="841"/>
      <c r="H1762" s="840">
        <f t="shared" si="54"/>
        <v>0</v>
      </c>
      <c r="I1762" s="840">
        <f t="shared" si="55"/>
        <v>0</v>
      </c>
    </row>
    <row r="1763" spans="1:9" s="302" customFormat="1" hidden="1">
      <c r="A1763" s="1071"/>
      <c r="B1763" s="475"/>
      <c r="C1763" s="905"/>
      <c r="D1763" s="931"/>
      <c r="E1763" s="931"/>
      <c r="F1763" s="841"/>
      <c r="G1763" s="841"/>
      <c r="H1763" s="840">
        <f t="shared" si="54"/>
        <v>0</v>
      </c>
      <c r="I1763" s="840">
        <f t="shared" si="55"/>
        <v>0</v>
      </c>
    </row>
    <row r="1764" spans="1:9" s="302" customFormat="1" hidden="1">
      <c r="A1764" s="1071"/>
      <c r="B1764" s="475"/>
      <c r="C1764" s="905"/>
      <c r="D1764" s="931"/>
      <c r="E1764" s="931"/>
      <c r="F1764" s="841"/>
      <c r="G1764" s="841"/>
      <c r="H1764" s="840">
        <f t="shared" si="54"/>
        <v>0</v>
      </c>
      <c r="I1764" s="840">
        <f t="shared" si="55"/>
        <v>0</v>
      </c>
    </row>
    <row r="1765" spans="1:9" s="302" customFormat="1" hidden="1">
      <c r="A1765" s="1071"/>
      <c r="B1765" s="475"/>
      <c r="C1765" s="905"/>
      <c r="D1765" s="931"/>
      <c r="E1765" s="931"/>
      <c r="F1765" s="841"/>
      <c r="G1765" s="841"/>
      <c r="H1765" s="840">
        <f t="shared" si="54"/>
        <v>0</v>
      </c>
      <c r="I1765" s="840">
        <f t="shared" si="55"/>
        <v>0</v>
      </c>
    </row>
    <row r="1766" spans="1:9" s="302" customFormat="1" hidden="1">
      <c r="A1766" s="1071"/>
      <c r="B1766" s="475"/>
      <c r="C1766" s="905"/>
      <c r="D1766" s="931"/>
      <c r="E1766" s="931"/>
      <c r="F1766" s="841"/>
      <c r="G1766" s="841"/>
      <c r="H1766" s="840">
        <f t="shared" si="54"/>
        <v>0</v>
      </c>
      <c r="I1766" s="840">
        <f t="shared" si="55"/>
        <v>0</v>
      </c>
    </row>
    <row r="1767" spans="1:9" s="302" customFormat="1" hidden="1">
      <c r="A1767" s="1071"/>
      <c r="B1767" s="475"/>
      <c r="C1767" s="905"/>
      <c r="D1767" s="931"/>
      <c r="E1767" s="931"/>
      <c r="F1767" s="841"/>
      <c r="G1767" s="841"/>
      <c r="H1767" s="840">
        <f t="shared" si="54"/>
        <v>0</v>
      </c>
      <c r="I1767" s="840">
        <f t="shared" si="55"/>
        <v>0</v>
      </c>
    </row>
    <row r="1768" spans="1:9" s="302" customFormat="1" hidden="1">
      <c r="A1768" s="1071"/>
      <c r="B1768" s="475"/>
      <c r="C1768" s="905"/>
      <c r="D1768" s="931"/>
      <c r="E1768" s="931"/>
      <c r="F1768" s="841"/>
      <c r="G1768" s="841"/>
      <c r="H1768" s="840">
        <f t="shared" si="54"/>
        <v>0</v>
      </c>
      <c r="I1768" s="840">
        <f t="shared" si="55"/>
        <v>0</v>
      </c>
    </row>
    <row r="1769" spans="1:9" s="302" customFormat="1" hidden="1">
      <c r="A1769" s="1071"/>
      <c r="B1769" s="475"/>
      <c r="C1769" s="905"/>
      <c r="D1769" s="931"/>
      <c r="E1769" s="931"/>
      <c r="F1769" s="841"/>
      <c r="G1769" s="841"/>
      <c r="H1769" s="840">
        <f t="shared" si="54"/>
        <v>0</v>
      </c>
      <c r="I1769" s="840">
        <f t="shared" si="55"/>
        <v>0</v>
      </c>
    </row>
    <row r="1770" spans="1:9" s="302" customFormat="1" hidden="1">
      <c r="A1770" s="1071"/>
      <c r="B1770" s="475"/>
      <c r="C1770" s="905"/>
      <c r="D1770" s="931"/>
      <c r="E1770" s="931"/>
      <c r="F1770" s="841"/>
      <c r="G1770" s="841"/>
      <c r="H1770" s="840">
        <f t="shared" si="54"/>
        <v>0</v>
      </c>
      <c r="I1770" s="840">
        <f t="shared" si="55"/>
        <v>0</v>
      </c>
    </row>
    <row r="1771" spans="1:9" s="302" customFormat="1" hidden="1">
      <c r="A1771" s="1071"/>
      <c r="B1771" s="864"/>
      <c r="C1771" s="917"/>
      <c r="D1771" s="917"/>
      <c r="E1771" s="918"/>
      <c r="F1771" s="841"/>
      <c r="G1771" s="841"/>
      <c r="H1771" s="840">
        <f t="shared" si="54"/>
        <v>0</v>
      </c>
      <c r="I1771" s="840">
        <f t="shared" si="55"/>
        <v>0</v>
      </c>
    </row>
    <row r="1772" spans="1:9" s="302" customFormat="1" hidden="1">
      <c r="A1772" s="1071"/>
      <c r="B1772" s="864"/>
      <c r="C1772" s="917"/>
      <c r="D1772" s="917"/>
      <c r="E1772" s="918"/>
      <c r="F1772" s="841"/>
      <c r="G1772" s="841"/>
      <c r="H1772" s="840">
        <f t="shared" si="54"/>
        <v>0</v>
      </c>
      <c r="I1772" s="840">
        <f t="shared" si="55"/>
        <v>0</v>
      </c>
    </row>
    <row r="1773" spans="1:9" s="302" customFormat="1" hidden="1">
      <c r="A1773" s="1071"/>
      <c r="B1773" s="864"/>
      <c r="C1773" s="917"/>
      <c r="D1773" s="917"/>
      <c r="E1773" s="918"/>
      <c r="F1773" s="841"/>
      <c r="G1773" s="841"/>
      <c r="H1773" s="840">
        <f t="shared" si="54"/>
        <v>0</v>
      </c>
      <c r="I1773" s="840">
        <f t="shared" si="55"/>
        <v>0</v>
      </c>
    </row>
    <row r="1774" spans="1:9" s="302" customFormat="1" hidden="1">
      <c r="A1774" s="1071"/>
      <c r="B1774" s="864"/>
      <c r="C1774" s="917"/>
      <c r="D1774" s="917"/>
      <c r="E1774" s="918"/>
      <c r="F1774" s="841"/>
      <c r="G1774" s="841"/>
      <c r="H1774" s="840">
        <f t="shared" si="54"/>
        <v>0</v>
      </c>
      <c r="I1774" s="840">
        <f t="shared" si="55"/>
        <v>0</v>
      </c>
    </row>
    <row r="1775" spans="1:9" s="302" customFormat="1" hidden="1">
      <c r="A1775" s="1071"/>
      <c r="B1775" s="864"/>
      <c r="C1775" s="917"/>
      <c r="D1775" s="917"/>
      <c r="E1775" s="918"/>
      <c r="F1775" s="841"/>
      <c r="G1775" s="841"/>
      <c r="H1775" s="840">
        <f t="shared" si="54"/>
        <v>0</v>
      </c>
      <c r="I1775" s="840">
        <f t="shared" si="55"/>
        <v>0</v>
      </c>
    </row>
    <row r="1776" spans="1:9" s="302" customFormat="1" hidden="1">
      <c r="A1776" s="1071"/>
      <c r="B1776" s="864"/>
      <c r="C1776" s="917"/>
      <c r="D1776" s="917"/>
      <c r="E1776" s="918"/>
      <c r="F1776" s="841"/>
      <c r="G1776" s="841"/>
      <c r="H1776" s="840">
        <f t="shared" si="54"/>
        <v>0</v>
      </c>
      <c r="I1776" s="840">
        <f t="shared" si="55"/>
        <v>0</v>
      </c>
    </row>
    <row r="1777" spans="1:9" s="302" customFormat="1" ht="18" hidden="1" customHeight="1">
      <c r="A1777" s="1071"/>
      <c r="B1777" s="864"/>
      <c r="C1777" s="917"/>
      <c r="D1777" s="917"/>
      <c r="E1777" s="918"/>
      <c r="F1777" s="841"/>
      <c r="G1777" s="841"/>
      <c r="H1777" s="840">
        <f t="shared" si="54"/>
        <v>0</v>
      </c>
      <c r="I1777" s="840">
        <f t="shared" si="55"/>
        <v>0</v>
      </c>
    </row>
    <row r="1778" spans="1:9" s="302" customFormat="1" ht="18" hidden="1" customHeight="1">
      <c r="A1778" s="1071"/>
      <c r="B1778" s="864"/>
      <c r="C1778" s="917"/>
      <c r="D1778" s="917"/>
      <c r="E1778" s="918"/>
      <c r="F1778" s="841"/>
      <c r="G1778" s="841"/>
      <c r="H1778" s="840">
        <f t="shared" si="54"/>
        <v>0</v>
      </c>
      <c r="I1778" s="840">
        <f t="shared" si="55"/>
        <v>0</v>
      </c>
    </row>
    <row r="1779" spans="1:9" s="302" customFormat="1" ht="18" hidden="1" customHeight="1">
      <c r="A1779" s="1071"/>
      <c r="B1779" s="864"/>
      <c r="C1779" s="917"/>
      <c r="D1779" s="927"/>
      <c r="E1779" s="927"/>
      <c r="F1779" s="841"/>
      <c r="G1779" s="841"/>
      <c r="H1779" s="840">
        <f t="shared" si="54"/>
        <v>0</v>
      </c>
      <c r="I1779" s="840">
        <f t="shared" si="55"/>
        <v>0</v>
      </c>
    </row>
    <row r="1780" spans="1:9">
      <c r="A1780" s="1081"/>
      <c r="B1780" s="461" t="s">
        <v>253</v>
      </c>
      <c r="C1780" s="919">
        <f>SUM(C1584:C1779)</f>
        <v>3107253</v>
      </c>
      <c r="D1780" s="919">
        <f>SUM(D1584:D1779)</f>
        <v>2920178</v>
      </c>
      <c r="E1780" s="919">
        <f>SUM(E1584:E1779)</f>
        <v>187075</v>
      </c>
      <c r="F1780" s="850">
        <f>SUM(F1584:F1588)</f>
        <v>0</v>
      </c>
      <c r="G1780" s="851">
        <f>SUM(G1584:G1588)</f>
        <v>0</v>
      </c>
      <c r="H1780" s="840">
        <f t="shared" si="54"/>
        <v>0</v>
      </c>
      <c r="I1780" s="840">
        <f t="shared" si="55"/>
        <v>6214506</v>
      </c>
    </row>
    <row r="1781" spans="1:9" ht="75">
      <c r="A1781" s="1081" t="s">
        <v>455</v>
      </c>
      <c r="B1781" s="887" t="s">
        <v>952</v>
      </c>
      <c r="C1781" s="530">
        <v>1849700</v>
      </c>
      <c r="D1781" s="530">
        <v>1849700</v>
      </c>
      <c r="E1781" s="905"/>
      <c r="F1781" s="854"/>
      <c r="G1781" s="854"/>
      <c r="H1781" s="840">
        <f t="shared" si="54"/>
        <v>0</v>
      </c>
      <c r="I1781" s="840">
        <f t="shared" si="55"/>
        <v>3699400</v>
      </c>
    </row>
    <row r="1782" spans="1:9" hidden="1">
      <c r="A1782" s="1081"/>
      <c r="B1782" s="475"/>
      <c r="C1782" s="916"/>
      <c r="D1782" s="916"/>
      <c r="E1782" s="905"/>
      <c r="F1782" s="854"/>
      <c r="G1782" s="854"/>
      <c r="H1782" s="840">
        <f t="shared" si="54"/>
        <v>0</v>
      </c>
      <c r="I1782" s="840">
        <f t="shared" si="55"/>
        <v>0</v>
      </c>
    </row>
    <row r="1783" spans="1:9" hidden="1">
      <c r="A1783" s="1081"/>
      <c r="B1783" s="475"/>
      <c r="C1783" s="916"/>
      <c r="D1783" s="916"/>
      <c r="E1783" s="905"/>
      <c r="F1783" s="841"/>
      <c r="G1783" s="841"/>
      <c r="H1783" s="840">
        <f t="shared" si="54"/>
        <v>0</v>
      </c>
      <c r="I1783" s="840">
        <f t="shared" si="55"/>
        <v>0</v>
      </c>
    </row>
    <row r="1784" spans="1:9" hidden="1">
      <c r="A1784" s="1081"/>
      <c r="B1784" s="475"/>
      <c r="C1784" s="916"/>
      <c r="D1784" s="916"/>
      <c r="E1784" s="905"/>
      <c r="F1784" s="841"/>
      <c r="G1784" s="841"/>
      <c r="H1784" s="840">
        <f t="shared" si="54"/>
        <v>0</v>
      </c>
      <c r="I1784" s="840">
        <f t="shared" si="55"/>
        <v>0</v>
      </c>
    </row>
    <row r="1785" spans="1:9" hidden="1">
      <c r="A1785" s="1081"/>
      <c r="B1785" s="475"/>
      <c r="C1785" s="916"/>
      <c r="D1785" s="916"/>
      <c r="E1785" s="905"/>
      <c r="F1785" s="841"/>
      <c r="G1785" s="841"/>
      <c r="H1785" s="840">
        <f t="shared" si="54"/>
        <v>0</v>
      </c>
      <c r="I1785" s="840">
        <f t="shared" si="55"/>
        <v>0</v>
      </c>
    </row>
    <row r="1786" spans="1:9" hidden="1">
      <c r="A1786" s="1081"/>
      <c r="B1786" s="475"/>
      <c r="C1786" s="916"/>
      <c r="D1786" s="916"/>
      <c r="E1786" s="905"/>
      <c r="F1786" s="841"/>
      <c r="G1786" s="841"/>
      <c r="H1786" s="840">
        <f t="shared" si="54"/>
        <v>0</v>
      </c>
      <c r="I1786" s="840">
        <f t="shared" si="55"/>
        <v>0</v>
      </c>
    </row>
    <row r="1787" spans="1:9" hidden="1">
      <c r="A1787" s="1081"/>
      <c r="B1787" s="475"/>
      <c r="C1787" s="916"/>
      <c r="D1787" s="916"/>
      <c r="E1787" s="905"/>
      <c r="F1787" s="841"/>
      <c r="G1787" s="841"/>
      <c r="H1787" s="840">
        <f t="shared" si="54"/>
        <v>0</v>
      </c>
      <c r="I1787" s="840">
        <f t="shared" si="55"/>
        <v>0</v>
      </c>
    </row>
    <row r="1788" spans="1:9" hidden="1">
      <c r="A1788" s="1081"/>
      <c r="B1788" s="475"/>
      <c r="C1788" s="916"/>
      <c r="D1788" s="916"/>
      <c r="E1788" s="905"/>
      <c r="F1788" s="841"/>
      <c r="G1788" s="841"/>
      <c r="H1788" s="840">
        <f t="shared" si="54"/>
        <v>0</v>
      </c>
      <c r="I1788" s="840">
        <f t="shared" si="55"/>
        <v>0</v>
      </c>
    </row>
    <row r="1789" spans="1:9" hidden="1">
      <c r="A1789" s="1081"/>
      <c r="B1789" s="475"/>
      <c r="C1789" s="916"/>
      <c r="D1789" s="916"/>
      <c r="E1789" s="905"/>
      <c r="F1789" s="841"/>
      <c r="G1789" s="841"/>
      <c r="H1789" s="840">
        <f t="shared" si="54"/>
        <v>0</v>
      </c>
      <c r="I1789" s="840">
        <f t="shared" si="55"/>
        <v>0</v>
      </c>
    </row>
    <row r="1790" spans="1:9" hidden="1">
      <c r="A1790" s="1081"/>
      <c r="B1790" s="475"/>
      <c r="C1790" s="916"/>
      <c r="D1790" s="916"/>
      <c r="E1790" s="905"/>
      <c r="F1790" s="841"/>
      <c r="G1790" s="841"/>
      <c r="H1790" s="840">
        <f t="shared" si="54"/>
        <v>0</v>
      </c>
      <c r="I1790" s="840">
        <f t="shared" si="55"/>
        <v>0</v>
      </c>
    </row>
    <row r="1791" spans="1:9" hidden="1">
      <c r="A1791" s="1081"/>
      <c r="B1791" s="475"/>
      <c r="C1791" s="916"/>
      <c r="D1791" s="916"/>
      <c r="E1791" s="905"/>
      <c r="F1791" s="841"/>
      <c r="G1791" s="841"/>
      <c r="H1791" s="840">
        <f t="shared" si="54"/>
        <v>0</v>
      </c>
      <c r="I1791" s="840">
        <f t="shared" si="55"/>
        <v>0</v>
      </c>
    </row>
    <row r="1792" spans="1:9" hidden="1">
      <c r="A1792" s="1081"/>
      <c r="B1792" s="475"/>
      <c r="C1792" s="916"/>
      <c r="D1792" s="916"/>
      <c r="E1792" s="905"/>
      <c r="F1792" s="841"/>
      <c r="G1792" s="841"/>
      <c r="H1792" s="840">
        <f t="shared" si="54"/>
        <v>0</v>
      </c>
      <c r="I1792" s="840">
        <f t="shared" si="55"/>
        <v>0</v>
      </c>
    </row>
    <row r="1793" spans="1:9" hidden="1">
      <c r="A1793" s="1081"/>
      <c r="B1793" s="475"/>
      <c r="C1793" s="916"/>
      <c r="D1793" s="916"/>
      <c r="E1793" s="905"/>
      <c r="F1793" s="841"/>
      <c r="G1793" s="841"/>
      <c r="H1793" s="840">
        <f t="shared" si="54"/>
        <v>0</v>
      </c>
      <c r="I1793" s="840">
        <f t="shared" si="55"/>
        <v>0</v>
      </c>
    </row>
    <row r="1794" spans="1:9" hidden="1">
      <c r="A1794" s="1081"/>
      <c r="B1794" s="475"/>
      <c r="C1794" s="905"/>
      <c r="D1794" s="905"/>
      <c r="E1794" s="905"/>
      <c r="F1794" s="841"/>
      <c r="G1794" s="841"/>
      <c r="H1794" s="840">
        <f t="shared" si="54"/>
        <v>0</v>
      </c>
      <c r="I1794" s="840">
        <f t="shared" si="55"/>
        <v>0</v>
      </c>
    </row>
    <row r="1795" spans="1:9" hidden="1">
      <c r="A1795" s="1081"/>
      <c r="B1795" s="475"/>
      <c r="C1795" s="905"/>
      <c r="D1795" s="905"/>
      <c r="E1795" s="905"/>
      <c r="F1795" s="841"/>
      <c r="G1795" s="841"/>
      <c r="H1795" s="840">
        <f t="shared" si="54"/>
        <v>0</v>
      </c>
      <c r="I1795" s="840">
        <f t="shared" si="55"/>
        <v>0</v>
      </c>
    </row>
    <row r="1796" spans="1:9" hidden="1">
      <c r="A1796" s="1081"/>
      <c r="B1796" s="475"/>
      <c r="C1796" s="905"/>
      <c r="D1796" s="905"/>
      <c r="E1796" s="905"/>
      <c r="F1796" s="841"/>
      <c r="G1796" s="841"/>
      <c r="H1796" s="840">
        <f t="shared" si="54"/>
        <v>0</v>
      </c>
      <c r="I1796" s="840">
        <f t="shared" si="55"/>
        <v>0</v>
      </c>
    </row>
    <row r="1797" spans="1:9" hidden="1">
      <c r="A1797" s="1081"/>
      <c r="B1797" s="475"/>
      <c r="C1797" s="905"/>
      <c r="D1797" s="905"/>
      <c r="E1797" s="905"/>
      <c r="F1797" s="841"/>
      <c r="G1797" s="841"/>
      <c r="H1797" s="840">
        <f t="shared" si="54"/>
        <v>0</v>
      </c>
      <c r="I1797" s="840">
        <f t="shared" si="55"/>
        <v>0</v>
      </c>
    </row>
    <row r="1798" spans="1:9" hidden="1">
      <c r="A1798" s="1081"/>
      <c r="B1798" s="475"/>
      <c r="C1798" s="916"/>
      <c r="D1798" s="916"/>
      <c r="E1798" s="905"/>
      <c r="F1798" s="841"/>
      <c r="G1798" s="841"/>
      <c r="H1798" s="840">
        <f t="shared" si="54"/>
        <v>0</v>
      </c>
      <c r="I1798" s="840">
        <f t="shared" si="55"/>
        <v>0</v>
      </c>
    </row>
    <row r="1799" spans="1:9" hidden="1">
      <c r="A1799" s="1081"/>
      <c r="B1799" s="475"/>
      <c r="C1799" s="916"/>
      <c r="D1799" s="916"/>
      <c r="E1799" s="905"/>
      <c r="F1799" s="841"/>
      <c r="G1799" s="841"/>
      <c r="H1799" s="840">
        <f t="shared" si="54"/>
        <v>0</v>
      </c>
      <c r="I1799" s="840">
        <f t="shared" si="55"/>
        <v>0</v>
      </c>
    </row>
    <row r="1800" spans="1:9" s="302" customFormat="1" hidden="1">
      <c r="A1800" s="1068"/>
      <c r="B1800" s="475"/>
      <c r="C1800" s="916"/>
      <c r="D1800" s="916"/>
      <c r="E1800" s="905"/>
      <c r="F1800" s="841"/>
      <c r="G1800" s="841"/>
      <c r="H1800" s="840">
        <f t="shared" si="54"/>
        <v>0</v>
      </c>
      <c r="I1800" s="840">
        <f t="shared" si="55"/>
        <v>0</v>
      </c>
    </row>
    <row r="1801" spans="1:9" s="302" customFormat="1" hidden="1">
      <c r="A1801" s="1068"/>
      <c r="B1801" s="475"/>
      <c r="C1801" s="916"/>
      <c r="D1801" s="916"/>
      <c r="E1801" s="905"/>
      <c r="F1801" s="841"/>
      <c r="G1801" s="841"/>
      <c r="H1801" s="840">
        <f t="shared" ref="H1801:H1864" si="56">E1801+D1801-C1801</f>
        <v>0</v>
      </c>
      <c r="I1801" s="840">
        <f t="shared" ref="I1801:I1864" si="57">SUM(C1801:E1801)</f>
        <v>0</v>
      </c>
    </row>
    <row r="1802" spans="1:9" s="302" customFormat="1" hidden="1">
      <c r="A1802" s="1068"/>
      <c r="B1802" s="475"/>
      <c r="C1802" s="905"/>
      <c r="D1802" s="905"/>
      <c r="E1802" s="905"/>
      <c r="F1802" s="841"/>
      <c r="G1802" s="841"/>
      <c r="H1802" s="840">
        <f t="shared" si="56"/>
        <v>0</v>
      </c>
      <c r="I1802" s="840">
        <f t="shared" si="57"/>
        <v>0</v>
      </c>
    </row>
    <row r="1803" spans="1:9" s="302" customFormat="1" hidden="1">
      <c r="A1803" s="1068"/>
      <c r="B1803" s="475"/>
      <c r="C1803" s="916"/>
      <c r="D1803" s="916"/>
      <c r="E1803" s="905"/>
      <c r="F1803" s="841"/>
      <c r="G1803" s="841"/>
      <c r="H1803" s="840">
        <f t="shared" si="56"/>
        <v>0</v>
      </c>
      <c r="I1803" s="840">
        <f t="shared" si="57"/>
        <v>0</v>
      </c>
    </row>
    <row r="1804" spans="1:9" s="302" customFormat="1" hidden="1">
      <c r="A1804" s="1068"/>
      <c r="B1804" s="475"/>
      <c r="C1804" s="916"/>
      <c r="D1804" s="916"/>
      <c r="E1804" s="905"/>
      <c r="F1804" s="841"/>
      <c r="G1804" s="841"/>
      <c r="H1804" s="840">
        <f t="shared" si="56"/>
        <v>0</v>
      </c>
      <c r="I1804" s="840">
        <f t="shared" si="57"/>
        <v>0</v>
      </c>
    </row>
    <row r="1805" spans="1:9" s="302" customFormat="1" hidden="1">
      <c r="A1805" s="1068"/>
      <c r="B1805" s="475"/>
      <c r="C1805" s="905"/>
      <c r="D1805" s="905"/>
      <c r="E1805" s="905"/>
      <c r="F1805" s="841"/>
      <c r="G1805" s="841"/>
      <c r="H1805" s="840">
        <f t="shared" si="56"/>
        <v>0</v>
      </c>
      <c r="I1805" s="840">
        <f t="shared" si="57"/>
        <v>0</v>
      </c>
    </row>
    <row r="1806" spans="1:9" s="302" customFormat="1" hidden="1">
      <c r="A1806" s="1068"/>
      <c r="B1806" s="475"/>
      <c r="C1806" s="905"/>
      <c r="D1806" s="905"/>
      <c r="E1806" s="905"/>
      <c r="F1806" s="841"/>
      <c r="G1806" s="841"/>
      <c r="H1806" s="840">
        <f t="shared" si="56"/>
        <v>0</v>
      </c>
      <c r="I1806" s="840">
        <f t="shared" si="57"/>
        <v>0</v>
      </c>
    </row>
    <row r="1807" spans="1:9" s="302" customFormat="1" hidden="1">
      <c r="A1807" s="1068"/>
      <c r="B1807" s="846"/>
      <c r="C1807" s="904"/>
      <c r="D1807" s="904"/>
      <c r="E1807" s="904"/>
      <c r="F1807" s="841"/>
      <c r="G1807" s="841"/>
      <c r="H1807" s="840">
        <f t="shared" si="56"/>
        <v>0</v>
      </c>
      <c r="I1807" s="840">
        <f t="shared" si="57"/>
        <v>0</v>
      </c>
    </row>
    <row r="1808" spans="1:9" s="302" customFormat="1" hidden="1">
      <c r="A1808" s="1068"/>
      <c r="B1808" s="475"/>
      <c r="C1808" s="905"/>
      <c r="D1808" s="931"/>
      <c r="E1808" s="931"/>
      <c r="F1808" s="841"/>
      <c r="G1808" s="841"/>
      <c r="H1808" s="840">
        <f t="shared" si="56"/>
        <v>0</v>
      </c>
      <c r="I1808" s="840">
        <f t="shared" si="57"/>
        <v>0</v>
      </c>
    </row>
    <row r="1809" spans="1:9" s="302" customFormat="1" hidden="1">
      <c r="A1809" s="1068"/>
      <c r="B1809" s="892"/>
      <c r="C1809" s="904"/>
      <c r="D1809" s="904"/>
      <c r="E1809" s="904"/>
      <c r="F1809" s="841"/>
      <c r="G1809" s="841"/>
      <c r="H1809" s="840">
        <f t="shared" si="56"/>
        <v>0</v>
      </c>
      <c r="I1809" s="840">
        <f t="shared" si="57"/>
        <v>0</v>
      </c>
    </row>
    <row r="1810" spans="1:9" s="302" customFormat="1" hidden="1">
      <c r="A1810" s="1068"/>
      <c r="B1810" s="892"/>
      <c r="C1810" s="904"/>
      <c r="D1810" s="904"/>
      <c r="E1810" s="904"/>
      <c r="F1810" s="841"/>
      <c r="G1810" s="841"/>
      <c r="H1810" s="840">
        <f t="shared" si="56"/>
        <v>0</v>
      </c>
      <c r="I1810" s="840">
        <f t="shared" si="57"/>
        <v>0</v>
      </c>
    </row>
    <row r="1811" spans="1:9" s="302" customFormat="1" hidden="1">
      <c r="A1811" s="1068"/>
      <c r="B1811" s="892"/>
      <c r="C1811" s="904"/>
      <c r="D1811" s="904"/>
      <c r="E1811" s="904"/>
      <c r="F1811" s="841"/>
      <c r="G1811" s="841"/>
      <c r="H1811" s="840">
        <f t="shared" si="56"/>
        <v>0</v>
      </c>
      <c r="I1811" s="840">
        <f t="shared" si="57"/>
        <v>0</v>
      </c>
    </row>
    <row r="1812" spans="1:9" s="302" customFormat="1" hidden="1">
      <c r="A1812" s="1068"/>
      <c r="B1812" s="892"/>
      <c r="C1812" s="904"/>
      <c r="D1812" s="904"/>
      <c r="E1812" s="904"/>
      <c r="F1812" s="841"/>
      <c r="G1812" s="841"/>
      <c r="H1812" s="840">
        <f t="shared" si="56"/>
        <v>0</v>
      </c>
      <c r="I1812" s="840">
        <f t="shared" si="57"/>
        <v>0</v>
      </c>
    </row>
    <row r="1813" spans="1:9" s="302" customFormat="1" hidden="1">
      <c r="A1813" s="1068"/>
      <c r="B1813" s="892"/>
      <c r="C1813" s="904"/>
      <c r="D1813" s="904"/>
      <c r="E1813" s="904"/>
      <c r="F1813" s="841"/>
      <c r="G1813" s="841"/>
      <c r="H1813" s="840">
        <f t="shared" si="56"/>
        <v>0</v>
      </c>
      <c r="I1813" s="840">
        <f t="shared" si="57"/>
        <v>0</v>
      </c>
    </row>
    <row r="1814" spans="1:9" s="302" customFormat="1" hidden="1">
      <c r="A1814" s="1068"/>
      <c r="B1814" s="892"/>
      <c r="C1814" s="904"/>
      <c r="D1814" s="904"/>
      <c r="E1814" s="904"/>
      <c r="F1814" s="841"/>
      <c r="G1814" s="841"/>
      <c r="H1814" s="840">
        <f t="shared" si="56"/>
        <v>0</v>
      </c>
      <c r="I1814" s="840">
        <f t="shared" si="57"/>
        <v>0</v>
      </c>
    </row>
    <row r="1815" spans="1:9" s="302" customFormat="1" hidden="1">
      <c r="A1815" s="1068"/>
      <c r="B1815" s="892"/>
      <c r="C1815" s="904"/>
      <c r="D1815" s="904"/>
      <c r="E1815" s="904"/>
      <c r="F1815" s="841"/>
      <c r="G1815" s="841"/>
      <c r="H1815" s="840">
        <f t="shared" si="56"/>
        <v>0</v>
      </c>
      <c r="I1815" s="840">
        <f t="shared" si="57"/>
        <v>0</v>
      </c>
    </row>
    <row r="1816" spans="1:9" s="302" customFormat="1" hidden="1">
      <c r="A1816" s="1068"/>
      <c r="B1816" s="892"/>
      <c r="C1816" s="904"/>
      <c r="D1816" s="904"/>
      <c r="E1816" s="904"/>
      <c r="F1816" s="841"/>
      <c r="G1816" s="841"/>
      <c r="H1816" s="840">
        <f t="shared" si="56"/>
        <v>0</v>
      </c>
      <c r="I1816" s="840">
        <f t="shared" si="57"/>
        <v>0</v>
      </c>
    </row>
    <row r="1817" spans="1:9" s="302" customFormat="1" hidden="1">
      <c r="A1817" s="1068"/>
      <c r="B1817" s="892"/>
      <c r="C1817" s="904"/>
      <c r="D1817" s="904"/>
      <c r="E1817" s="904"/>
      <c r="F1817" s="841"/>
      <c r="G1817" s="841"/>
      <c r="H1817" s="840">
        <f t="shared" si="56"/>
        <v>0</v>
      </c>
      <c r="I1817" s="840">
        <f t="shared" si="57"/>
        <v>0</v>
      </c>
    </row>
    <row r="1818" spans="1:9" s="302" customFormat="1" hidden="1">
      <c r="A1818" s="1068"/>
      <c r="B1818" s="892"/>
      <c r="C1818" s="904"/>
      <c r="D1818" s="904"/>
      <c r="E1818" s="904"/>
      <c r="F1818" s="841"/>
      <c r="G1818" s="841"/>
      <c r="H1818" s="840">
        <f t="shared" si="56"/>
        <v>0</v>
      </c>
      <c r="I1818" s="840">
        <f t="shared" si="57"/>
        <v>0</v>
      </c>
    </row>
    <row r="1819" spans="1:9" s="302" customFormat="1" hidden="1">
      <c r="A1819" s="1068"/>
      <c r="B1819" s="475"/>
      <c r="C1819" s="916"/>
      <c r="D1819" s="916"/>
      <c r="E1819" s="905"/>
      <c r="F1819" s="841"/>
      <c r="G1819" s="841"/>
      <c r="H1819" s="840">
        <f t="shared" si="56"/>
        <v>0</v>
      </c>
      <c r="I1819" s="840">
        <f t="shared" si="57"/>
        <v>0</v>
      </c>
    </row>
    <row r="1820" spans="1:9" s="302" customFormat="1" hidden="1">
      <c r="A1820" s="1068"/>
      <c r="B1820" s="475"/>
      <c r="C1820" s="916"/>
      <c r="D1820" s="916"/>
      <c r="E1820" s="905"/>
      <c r="F1820" s="841"/>
      <c r="G1820" s="841"/>
      <c r="H1820" s="840">
        <f t="shared" si="56"/>
        <v>0</v>
      </c>
      <c r="I1820" s="840">
        <f t="shared" si="57"/>
        <v>0</v>
      </c>
    </row>
    <row r="1821" spans="1:9" s="302" customFormat="1" hidden="1">
      <c r="A1821" s="1068"/>
      <c r="B1821" s="475"/>
      <c r="C1821" s="916"/>
      <c r="D1821" s="916"/>
      <c r="E1821" s="905"/>
      <c r="F1821" s="841"/>
      <c r="G1821" s="841"/>
      <c r="H1821" s="840">
        <f t="shared" si="56"/>
        <v>0</v>
      </c>
      <c r="I1821" s="840">
        <f t="shared" si="57"/>
        <v>0</v>
      </c>
    </row>
    <row r="1822" spans="1:9" s="302" customFormat="1" hidden="1">
      <c r="A1822" s="1068"/>
      <c r="B1822" s="475"/>
      <c r="C1822" s="916"/>
      <c r="D1822" s="916"/>
      <c r="E1822" s="905"/>
      <c r="F1822" s="841"/>
      <c r="G1822" s="841"/>
      <c r="H1822" s="840">
        <f t="shared" si="56"/>
        <v>0</v>
      </c>
      <c r="I1822" s="840">
        <f t="shared" si="57"/>
        <v>0</v>
      </c>
    </row>
    <row r="1823" spans="1:9" s="302" customFormat="1" hidden="1">
      <c r="A1823" s="1068"/>
      <c r="B1823" s="475"/>
      <c r="C1823" s="916"/>
      <c r="D1823" s="916"/>
      <c r="E1823" s="905"/>
      <c r="F1823" s="841"/>
      <c r="G1823" s="841"/>
      <c r="H1823" s="840">
        <f t="shared" si="56"/>
        <v>0</v>
      </c>
      <c r="I1823" s="840">
        <f t="shared" si="57"/>
        <v>0</v>
      </c>
    </row>
    <row r="1824" spans="1:9" s="302" customFormat="1" hidden="1">
      <c r="A1824" s="1068"/>
      <c r="B1824" s="475"/>
      <c r="C1824" s="916"/>
      <c r="D1824" s="916"/>
      <c r="E1824" s="905"/>
      <c r="F1824" s="841"/>
      <c r="G1824" s="841"/>
      <c r="H1824" s="840">
        <f t="shared" si="56"/>
        <v>0</v>
      </c>
      <c r="I1824" s="840">
        <f t="shared" si="57"/>
        <v>0</v>
      </c>
    </row>
    <row r="1825" spans="1:9" s="302" customFormat="1" hidden="1">
      <c r="A1825" s="1068"/>
      <c r="B1825" s="475"/>
      <c r="C1825" s="916"/>
      <c r="D1825" s="916"/>
      <c r="E1825" s="905"/>
      <c r="F1825" s="841"/>
      <c r="G1825" s="841"/>
      <c r="H1825" s="840">
        <f t="shared" si="56"/>
        <v>0</v>
      </c>
      <c r="I1825" s="840">
        <f t="shared" si="57"/>
        <v>0</v>
      </c>
    </row>
    <row r="1826" spans="1:9" s="302" customFormat="1" hidden="1">
      <c r="A1826" s="1068"/>
      <c r="B1826" s="475"/>
      <c r="C1826" s="916"/>
      <c r="D1826" s="916"/>
      <c r="E1826" s="905"/>
      <c r="F1826" s="841"/>
      <c r="G1826" s="841"/>
      <c r="H1826" s="840">
        <f t="shared" si="56"/>
        <v>0</v>
      </c>
      <c r="I1826" s="840">
        <f t="shared" si="57"/>
        <v>0</v>
      </c>
    </row>
    <row r="1827" spans="1:9" s="302" customFormat="1" hidden="1">
      <c r="A1827" s="1068"/>
      <c r="B1827" s="475"/>
      <c r="C1827" s="916"/>
      <c r="D1827" s="916"/>
      <c r="E1827" s="905"/>
      <c r="F1827" s="841"/>
      <c r="G1827" s="841"/>
      <c r="H1827" s="840">
        <f t="shared" si="56"/>
        <v>0</v>
      </c>
      <c r="I1827" s="840">
        <f t="shared" si="57"/>
        <v>0</v>
      </c>
    </row>
    <row r="1828" spans="1:9" s="302" customFormat="1" hidden="1">
      <c r="A1828" s="1068"/>
      <c r="B1828" s="475"/>
      <c r="C1828" s="916"/>
      <c r="D1828" s="916"/>
      <c r="E1828" s="905"/>
      <c r="F1828" s="841"/>
      <c r="G1828" s="841"/>
      <c r="H1828" s="840">
        <f t="shared" si="56"/>
        <v>0</v>
      </c>
      <c r="I1828" s="840">
        <f t="shared" si="57"/>
        <v>0</v>
      </c>
    </row>
    <row r="1829" spans="1:9" s="302" customFormat="1" hidden="1">
      <c r="A1829" s="1068"/>
      <c r="B1829" s="475"/>
      <c r="C1829" s="916"/>
      <c r="D1829" s="916"/>
      <c r="E1829" s="905"/>
      <c r="F1829" s="841"/>
      <c r="G1829" s="841"/>
      <c r="H1829" s="840">
        <f t="shared" si="56"/>
        <v>0</v>
      </c>
      <c r="I1829" s="840">
        <f t="shared" si="57"/>
        <v>0</v>
      </c>
    </row>
    <row r="1830" spans="1:9" s="302" customFormat="1" hidden="1">
      <c r="A1830" s="1068"/>
      <c r="B1830" s="475"/>
      <c r="C1830" s="916"/>
      <c r="D1830" s="916"/>
      <c r="E1830" s="905"/>
      <c r="F1830" s="841"/>
      <c r="G1830" s="841"/>
      <c r="H1830" s="840">
        <f t="shared" si="56"/>
        <v>0</v>
      </c>
      <c r="I1830" s="840">
        <f t="shared" si="57"/>
        <v>0</v>
      </c>
    </row>
    <row r="1831" spans="1:9" s="302" customFormat="1" hidden="1">
      <c r="A1831" s="1068"/>
      <c r="B1831" s="475"/>
      <c r="C1831" s="916"/>
      <c r="D1831" s="916"/>
      <c r="E1831" s="905"/>
      <c r="F1831" s="841"/>
      <c r="G1831" s="841"/>
      <c r="H1831" s="840">
        <f t="shared" si="56"/>
        <v>0</v>
      </c>
      <c r="I1831" s="840">
        <f t="shared" si="57"/>
        <v>0</v>
      </c>
    </row>
    <row r="1832" spans="1:9" s="302" customFormat="1" hidden="1">
      <c r="A1832" s="1068"/>
      <c r="B1832" s="892"/>
      <c r="C1832" s="916"/>
      <c r="D1832" s="916"/>
      <c r="E1832" s="905"/>
      <c r="F1832" s="841"/>
      <c r="G1832" s="841"/>
      <c r="H1832" s="840">
        <f t="shared" si="56"/>
        <v>0</v>
      </c>
      <c r="I1832" s="840">
        <f t="shared" si="57"/>
        <v>0</v>
      </c>
    </row>
    <row r="1833" spans="1:9" s="302" customFormat="1" hidden="1">
      <c r="A1833" s="1068"/>
      <c r="B1833" s="475"/>
      <c r="C1833" s="916"/>
      <c r="D1833" s="916"/>
      <c r="E1833" s="905"/>
      <c r="F1833" s="841"/>
      <c r="G1833" s="841"/>
      <c r="H1833" s="840">
        <f t="shared" si="56"/>
        <v>0</v>
      </c>
      <c r="I1833" s="840">
        <f t="shared" si="57"/>
        <v>0</v>
      </c>
    </row>
    <row r="1834" spans="1:9" s="302" customFormat="1" hidden="1">
      <c r="A1834" s="1068"/>
      <c r="B1834" s="475"/>
      <c r="C1834" s="916"/>
      <c r="D1834" s="916"/>
      <c r="E1834" s="905"/>
      <c r="F1834" s="841"/>
      <c r="G1834" s="841"/>
      <c r="H1834" s="840">
        <f t="shared" si="56"/>
        <v>0</v>
      </c>
      <c r="I1834" s="840">
        <f t="shared" si="57"/>
        <v>0</v>
      </c>
    </row>
    <row r="1835" spans="1:9" s="302" customFormat="1" hidden="1">
      <c r="A1835" s="1068"/>
      <c r="B1835" s="475"/>
      <c r="C1835" s="916"/>
      <c r="D1835" s="916"/>
      <c r="E1835" s="905"/>
      <c r="F1835" s="841"/>
      <c r="G1835" s="841"/>
      <c r="H1835" s="840">
        <f t="shared" si="56"/>
        <v>0</v>
      </c>
      <c r="I1835" s="840">
        <f t="shared" si="57"/>
        <v>0</v>
      </c>
    </row>
    <row r="1836" spans="1:9" s="302" customFormat="1" hidden="1">
      <c r="A1836" s="1068"/>
      <c r="B1836" s="475"/>
      <c r="C1836" s="916"/>
      <c r="D1836" s="916"/>
      <c r="E1836" s="905"/>
      <c r="F1836" s="841"/>
      <c r="G1836" s="841"/>
      <c r="H1836" s="840">
        <f t="shared" si="56"/>
        <v>0</v>
      </c>
      <c r="I1836" s="840">
        <f t="shared" si="57"/>
        <v>0</v>
      </c>
    </row>
    <row r="1837" spans="1:9" s="302" customFormat="1" hidden="1">
      <c r="A1837" s="1068"/>
      <c r="B1837" s="475"/>
      <c r="C1837" s="916"/>
      <c r="D1837" s="916"/>
      <c r="E1837" s="905"/>
      <c r="F1837" s="841"/>
      <c r="G1837" s="841"/>
      <c r="H1837" s="840">
        <f t="shared" si="56"/>
        <v>0</v>
      </c>
      <c r="I1837" s="840">
        <f t="shared" si="57"/>
        <v>0</v>
      </c>
    </row>
    <row r="1838" spans="1:9" s="302" customFormat="1" hidden="1">
      <c r="A1838" s="1068"/>
      <c r="B1838" s="475"/>
      <c r="C1838" s="916"/>
      <c r="D1838" s="916"/>
      <c r="E1838" s="905"/>
      <c r="F1838" s="841"/>
      <c r="G1838" s="841"/>
      <c r="H1838" s="840">
        <f t="shared" si="56"/>
        <v>0</v>
      </c>
      <c r="I1838" s="840">
        <f t="shared" si="57"/>
        <v>0</v>
      </c>
    </row>
    <row r="1839" spans="1:9" s="302" customFormat="1" hidden="1">
      <c r="A1839" s="1068"/>
      <c r="B1839" s="475"/>
      <c r="C1839" s="905"/>
      <c r="D1839" s="905"/>
      <c r="E1839" s="905"/>
      <c r="F1839" s="841"/>
      <c r="G1839" s="841"/>
      <c r="H1839" s="840">
        <f t="shared" si="56"/>
        <v>0</v>
      </c>
      <c r="I1839" s="840">
        <f t="shared" si="57"/>
        <v>0</v>
      </c>
    </row>
    <row r="1840" spans="1:9" s="302" customFormat="1" hidden="1">
      <c r="A1840" s="1068"/>
      <c r="B1840" s="475"/>
      <c r="C1840" s="905"/>
      <c r="D1840" s="905"/>
      <c r="E1840" s="905"/>
      <c r="F1840" s="841"/>
      <c r="G1840" s="841"/>
      <c r="H1840" s="840">
        <f t="shared" si="56"/>
        <v>0</v>
      </c>
      <c r="I1840" s="840">
        <f t="shared" si="57"/>
        <v>0</v>
      </c>
    </row>
    <row r="1841" spans="1:9" s="302" customFormat="1" hidden="1">
      <c r="A1841" s="1068"/>
      <c r="B1841" s="475"/>
      <c r="C1841" s="905"/>
      <c r="D1841" s="905"/>
      <c r="E1841" s="905"/>
      <c r="F1841" s="841"/>
      <c r="G1841" s="841"/>
      <c r="H1841" s="840">
        <f t="shared" si="56"/>
        <v>0</v>
      </c>
      <c r="I1841" s="840">
        <f t="shared" si="57"/>
        <v>0</v>
      </c>
    </row>
    <row r="1842" spans="1:9" s="302" customFormat="1" hidden="1">
      <c r="A1842" s="1068"/>
      <c r="B1842" s="475"/>
      <c r="C1842" s="905"/>
      <c r="D1842" s="905"/>
      <c r="E1842" s="905"/>
      <c r="F1842" s="841"/>
      <c r="G1842" s="841"/>
      <c r="H1842" s="840">
        <f t="shared" si="56"/>
        <v>0</v>
      </c>
      <c r="I1842" s="840">
        <f t="shared" si="57"/>
        <v>0</v>
      </c>
    </row>
    <row r="1843" spans="1:9" s="302" customFormat="1" hidden="1">
      <c r="A1843" s="1068"/>
      <c r="B1843" s="475"/>
      <c r="C1843" s="905"/>
      <c r="D1843" s="905"/>
      <c r="E1843" s="905"/>
      <c r="F1843" s="841"/>
      <c r="G1843" s="841"/>
      <c r="H1843" s="840">
        <f t="shared" si="56"/>
        <v>0</v>
      </c>
      <c r="I1843" s="840">
        <f t="shared" si="57"/>
        <v>0</v>
      </c>
    </row>
    <row r="1844" spans="1:9" s="302" customFormat="1" hidden="1">
      <c r="A1844" s="1068"/>
      <c r="B1844" s="475"/>
      <c r="C1844" s="905"/>
      <c r="D1844" s="905"/>
      <c r="E1844" s="905"/>
      <c r="F1844" s="841"/>
      <c r="G1844" s="841"/>
      <c r="H1844" s="840">
        <f t="shared" si="56"/>
        <v>0</v>
      </c>
      <c r="I1844" s="840">
        <f t="shared" si="57"/>
        <v>0</v>
      </c>
    </row>
    <row r="1845" spans="1:9" s="302" customFormat="1" hidden="1">
      <c r="A1845" s="1068"/>
      <c r="B1845" s="475"/>
      <c r="C1845" s="905"/>
      <c r="D1845" s="905"/>
      <c r="E1845" s="905"/>
      <c r="F1845" s="841"/>
      <c r="G1845" s="841"/>
      <c r="H1845" s="840">
        <f t="shared" si="56"/>
        <v>0</v>
      </c>
      <c r="I1845" s="840">
        <f t="shared" si="57"/>
        <v>0</v>
      </c>
    </row>
    <row r="1846" spans="1:9" s="302" customFormat="1" hidden="1">
      <c r="A1846" s="1068"/>
      <c r="B1846" s="475"/>
      <c r="C1846" s="905"/>
      <c r="D1846" s="905"/>
      <c r="E1846" s="905"/>
      <c r="F1846" s="841"/>
      <c r="G1846" s="841"/>
      <c r="H1846" s="840">
        <f t="shared" si="56"/>
        <v>0</v>
      </c>
      <c r="I1846" s="840">
        <f t="shared" si="57"/>
        <v>0</v>
      </c>
    </row>
    <row r="1847" spans="1:9" s="302" customFormat="1" hidden="1">
      <c r="A1847" s="1068"/>
      <c r="B1847" s="475"/>
      <c r="C1847" s="905"/>
      <c r="D1847" s="905"/>
      <c r="E1847" s="905"/>
      <c r="F1847" s="841"/>
      <c r="G1847" s="841"/>
      <c r="H1847" s="840">
        <f t="shared" si="56"/>
        <v>0</v>
      </c>
      <c r="I1847" s="840">
        <f t="shared" si="57"/>
        <v>0</v>
      </c>
    </row>
    <row r="1848" spans="1:9" s="302" customFormat="1" hidden="1">
      <c r="A1848" s="1068"/>
      <c r="B1848" s="475"/>
      <c r="C1848" s="905"/>
      <c r="D1848" s="905"/>
      <c r="E1848" s="905"/>
      <c r="F1848" s="841"/>
      <c r="G1848" s="841"/>
      <c r="H1848" s="840">
        <f t="shared" si="56"/>
        <v>0</v>
      </c>
      <c r="I1848" s="840">
        <f t="shared" si="57"/>
        <v>0</v>
      </c>
    </row>
    <row r="1849" spans="1:9" s="302" customFormat="1" hidden="1">
      <c r="A1849" s="1068"/>
      <c r="B1849" s="475"/>
      <c r="C1849" s="905"/>
      <c r="D1849" s="905"/>
      <c r="E1849" s="905"/>
      <c r="F1849" s="841"/>
      <c r="G1849" s="841"/>
      <c r="H1849" s="840">
        <f t="shared" si="56"/>
        <v>0</v>
      </c>
      <c r="I1849" s="840">
        <f t="shared" si="57"/>
        <v>0</v>
      </c>
    </row>
    <row r="1850" spans="1:9" s="302" customFormat="1" hidden="1">
      <c r="A1850" s="1068"/>
      <c r="B1850" s="475"/>
      <c r="C1850" s="905"/>
      <c r="D1850" s="905"/>
      <c r="E1850" s="905"/>
      <c r="F1850" s="841"/>
      <c r="G1850" s="841"/>
      <c r="H1850" s="840">
        <f t="shared" si="56"/>
        <v>0</v>
      </c>
      <c r="I1850" s="840">
        <f t="shared" si="57"/>
        <v>0</v>
      </c>
    </row>
    <row r="1851" spans="1:9" s="302" customFormat="1" hidden="1">
      <c r="A1851" s="1068"/>
      <c r="B1851" s="475"/>
      <c r="C1851" s="905"/>
      <c r="D1851" s="905"/>
      <c r="E1851" s="905"/>
      <c r="F1851" s="841"/>
      <c r="G1851" s="841"/>
      <c r="H1851" s="840">
        <f t="shared" si="56"/>
        <v>0</v>
      </c>
      <c r="I1851" s="840">
        <f t="shared" si="57"/>
        <v>0</v>
      </c>
    </row>
    <row r="1852" spans="1:9" s="302" customFormat="1" hidden="1">
      <c r="A1852" s="1068"/>
      <c r="B1852" s="475"/>
      <c r="C1852" s="905"/>
      <c r="D1852" s="905"/>
      <c r="E1852" s="905"/>
      <c r="F1852" s="841"/>
      <c r="G1852" s="841"/>
      <c r="H1852" s="840">
        <f t="shared" si="56"/>
        <v>0</v>
      </c>
      <c r="I1852" s="840">
        <f t="shared" si="57"/>
        <v>0</v>
      </c>
    </row>
    <row r="1853" spans="1:9" s="302" customFormat="1" hidden="1">
      <c r="A1853" s="1068"/>
      <c r="B1853" s="475"/>
      <c r="C1853" s="905"/>
      <c r="D1853" s="905"/>
      <c r="E1853" s="905"/>
      <c r="F1853" s="841"/>
      <c r="G1853" s="841"/>
      <c r="H1853" s="840">
        <f t="shared" si="56"/>
        <v>0</v>
      </c>
      <c r="I1853" s="840">
        <f t="shared" si="57"/>
        <v>0</v>
      </c>
    </row>
    <row r="1854" spans="1:9" s="302" customFormat="1" hidden="1">
      <c r="A1854" s="1068"/>
      <c r="B1854" s="475"/>
      <c r="C1854" s="905"/>
      <c r="D1854" s="905"/>
      <c r="E1854" s="905"/>
      <c r="F1854" s="841"/>
      <c r="G1854" s="841"/>
      <c r="H1854" s="840">
        <f t="shared" si="56"/>
        <v>0</v>
      </c>
      <c r="I1854" s="840">
        <f t="shared" si="57"/>
        <v>0</v>
      </c>
    </row>
    <row r="1855" spans="1:9" s="302" customFormat="1" hidden="1">
      <c r="A1855" s="1068"/>
      <c r="B1855" s="475"/>
      <c r="C1855" s="905"/>
      <c r="D1855" s="905"/>
      <c r="E1855" s="905"/>
      <c r="F1855" s="841"/>
      <c r="G1855" s="841"/>
      <c r="H1855" s="840">
        <f t="shared" si="56"/>
        <v>0</v>
      </c>
      <c r="I1855" s="840">
        <f t="shared" si="57"/>
        <v>0</v>
      </c>
    </row>
    <row r="1856" spans="1:9" s="302" customFormat="1" hidden="1">
      <c r="A1856" s="1068"/>
      <c r="B1856" s="475"/>
      <c r="C1856" s="905"/>
      <c r="D1856" s="905"/>
      <c r="E1856" s="905"/>
      <c r="F1856" s="841"/>
      <c r="G1856" s="841"/>
      <c r="H1856" s="840">
        <f t="shared" si="56"/>
        <v>0</v>
      </c>
      <c r="I1856" s="840">
        <f t="shared" si="57"/>
        <v>0</v>
      </c>
    </row>
    <row r="1857" spans="1:9" s="302" customFormat="1" hidden="1">
      <c r="A1857" s="1068"/>
      <c r="B1857" s="475"/>
      <c r="C1857" s="916"/>
      <c r="D1857" s="916"/>
      <c r="E1857" s="905"/>
      <c r="F1857" s="841"/>
      <c r="G1857" s="841"/>
      <c r="H1857" s="840">
        <f t="shared" si="56"/>
        <v>0</v>
      </c>
      <c r="I1857" s="840">
        <f t="shared" si="57"/>
        <v>0</v>
      </c>
    </row>
    <row r="1858" spans="1:9" s="302" customFormat="1" hidden="1">
      <c r="A1858" s="1068"/>
      <c r="B1858" s="475"/>
      <c r="C1858" s="916"/>
      <c r="D1858" s="916"/>
      <c r="E1858" s="905"/>
      <c r="F1858" s="841"/>
      <c r="G1858" s="841"/>
      <c r="H1858" s="840">
        <f t="shared" si="56"/>
        <v>0</v>
      </c>
      <c r="I1858" s="840">
        <f t="shared" si="57"/>
        <v>0</v>
      </c>
    </row>
    <row r="1859" spans="1:9" s="302" customFormat="1" hidden="1">
      <c r="A1859" s="1068"/>
      <c r="B1859" s="475"/>
      <c r="C1859" s="916"/>
      <c r="D1859" s="916"/>
      <c r="E1859" s="905"/>
      <c r="F1859" s="841"/>
      <c r="G1859" s="841"/>
      <c r="H1859" s="840">
        <f t="shared" si="56"/>
        <v>0</v>
      </c>
      <c r="I1859" s="840">
        <f t="shared" si="57"/>
        <v>0</v>
      </c>
    </row>
    <row r="1860" spans="1:9" s="302" customFormat="1" hidden="1">
      <c r="A1860" s="1068"/>
      <c r="B1860" s="475"/>
      <c r="C1860" s="916"/>
      <c r="D1860" s="916"/>
      <c r="E1860" s="905"/>
      <c r="F1860" s="841"/>
      <c r="G1860" s="841"/>
      <c r="H1860" s="840">
        <f t="shared" si="56"/>
        <v>0</v>
      </c>
      <c r="I1860" s="840">
        <f t="shared" si="57"/>
        <v>0</v>
      </c>
    </row>
    <row r="1861" spans="1:9" s="302" customFormat="1" hidden="1">
      <c r="A1861" s="1068"/>
      <c r="B1861" s="475"/>
      <c r="C1861" s="916"/>
      <c r="D1861" s="916"/>
      <c r="E1861" s="905"/>
      <c r="F1861" s="841"/>
      <c r="G1861" s="841"/>
      <c r="H1861" s="840">
        <f t="shared" si="56"/>
        <v>0</v>
      </c>
      <c r="I1861" s="840">
        <f t="shared" si="57"/>
        <v>0</v>
      </c>
    </row>
    <row r="1862" spans="1:9" s="302" customFormat="1" hidden="1">
      <c r="A1862" s="1068"/>
      <c r="B1862" s="475"/>
      <c r="C1862" s="916"/>
      <c r="D1862" s="916"/>
      <c r="E1862" s="905"/>
      <c r="F1862" s="841"/>
      <c r="G1862" s="841"/>
      <c r="H1862" s="840">
        <f t="shared" si="56"/>
        <v>0</v>
      </c>
      <c r="I1862" s="840">
        <f t="shared" si="57"/>
        <v>0</v>
      </c>
    </row>
    <row r="1863" spans="1:9" s="302" customFormat="1" hidden="1">
      <c r="A1863" s="1068"/>
      <c r="B1863" s="475"/>
      <c r="C1863" s="916"/>
      <c r="D1863" s="916"/>
      <c r="E1863" s="905"/>
      <c r="F1863" s="841"/>
      <c r="G1863" s="841"/>
      <c r="H1863" s="840">
        <f t="shared" si="56"/>
        <v>0</v>
      </c>
      <c r="I1863" s="840">
        <f t="shared" si="57"/>
        <v>0</v>
      </c>
    </row>
    <row r="1864" spans="1:9" s="302" customFormat="1" hidden="1">
      <c r="A1864" s="1071"/>
      <c r="B1864" s="894"/>
      <c r="C1864" s="922"/>
      <c r="D1864" s="922"/>
      <c r="E1864" s="926"/>
      <c r="F1864" s="841"/>
      <c r="G1864" s="841"/>
      <c r="H1864" s="840">
        <f t="shared" si="56"/>
        <v>0</v>
      </c>
      <c r="I1864" s="840">
        <f t="shared" si="57"/>
        <v>0</v>
      </c>
    </row>
    <row r="1865" spans="1:9" s="302" customFormat="1" hidden="1">
      <c r="A1865" s="1071"/>
      <c r="B1865" s="475"/>
      <c r="C1865" s="916"/>
      <c r="D1865" s="916"/>
      <c r="E1865" s="905"/>
      <c r="F1865" s="841"/>
      <c r="G1865" s="841"/>
      <c r="H1865" s="840">
        <f t="shared" ref="H1865:H1928" si="58">E1865+D1865-C1865</f>
        <v>0</v>
      </c>
      <c r="I1865" s="840">
        <f t="shared" ref="I1865:I1928" si="59">SUM(C1865:E1865)</f>
        <v>0</v>
      </c>
    </row>
    <row r="1866" spans="1:9" s="302" customFormat="1" hidden="1">
      <c r="A1866" s="1071"/>
      <c r="B1866" s="475"/>
      <c r="C1866" s="916"/>
      <c r="D1866" s="916"/>
      <c r="E1866" s="905"/>
      <c r="F1866" s="841"/>
      <c r="G1866" s="841"/>
      <c r="H1866" s="840">
        <f t="shared" si="58"/>
        <v>0</v>
      </c>
      <c r="I1866" s="840">
        <f t="shared" si="59"/>
        <v>0</v>
      </c>
    </row>
    <row r="1867" spans="1:9" s="302" customFormat="1" ht="18" hidden="1" customHeight="1">
      <c r="A1867" s="1071"/>
      <c r="B1867" s="887"/>
      <c r="C1867" s="916"/>
      <c r="D1867" s="916"/>
      <c r="E1867" s="907"/>
      <c r="F1867" s="841"/>
      <c r="G1867" s="841"/>
      <c r="H1867" s="840">
        <f t="shared" si="58"/>
        <v>0</v>
      </c>
      <c r="I1867" s="840">
        <f t="shared" si="59"/>
        <v>0</v>
      </c>
    </row>
    <row r="1868" spans="1:9" s="302" customFormat="1" ht="18" hidden="1" customHeight="1">
      <c r="A1868" s="1071"/>
      <c r="B1868" s="887"/>
      <c r="C1868" s="916"/>
      <c r="D1868" s="916"/>
      <c r="E1868" s="907"/>
      <c r="F1868" s="841"/>
      <c r="G1868" s="841"/>
      <c r="H1868" s="840">
        <f t="shared" si="58"/>
        <v>0</v>
      </c>
      <c r="I1868" s="840">
        <f t="shared" si="59"/>
        <v>0</v>
      </c>
    </row>
    <row r="1869" spans="1:9" s="302" customFormat="1" ht="18" hidden="1" customHeight="1">
      <c r="A1869" s="1071"/>
      <c r="B1869" s="887"/>
      <c r="C1869" s="916"/>
      <c r="D1869" s="916"/>
      <c r="E1869" s="907"/>
      <c r="F1869" s="841"/>
      <c r="G1869" s="841"/>
      <c r="H1869" s="840">
        <f t="shared" si="58"/>
        <v>0</v>
      </c>
      <c r="I1869" s="840">
        <f t="shared" si="59"/>
        <v>0</v>
      </c>
    </row>
    <row r="1870" spans="1:9" s="302" customFormat="1" ht="18" hidden="1" customHeight="1">
      <c r="A1870" s="1071"/>
      <c r="B1870" s="887"/>
      <c r="C1870" s="916"/>
      <c r="D1870" s="916"/>
      <c r="E1870" s="907"/>
      <c r="F1870" s="841"/>
      <c r="G1870" s="841"/>
      <c r="H1870" s="840">
        <f t="shared" si="58"/>
        <v>0</v>
      </c>
      <c r="I1870" s="840">
        <f t="shared" si="59"/>
        <v>0</v>
      </c>
    </row>
    <row r="1871" spans="1:9" s="302" customFormat="1" ht="18" hidden="1" customHeight="1">
      <c r="A1871" s="1071"/>
      <c r="B1871" s="887"/>
      <c r="C1871" s="916"/>
      <c r="D1871" s="916"/>
      <c r="E1871" s="907"/>
      <c r="F1871" s="841"/>
      <c r="G1871" s="841"/>
      <c r="H1871" s="840">
        <f t="shared" si="58"/>
        <v>0</v>
      </c>
      <c r="I1871" s="840">
        <f t="shared" si="59"/>
        <v>0</v>
      </c>
    </row>
    <row r="1872" spans="1:9" s="302" customFormat="1" ht="18" hidden="1" customHeight="1">
      <c r="A1872" s="1071"/>
      <c r="B1872" s="887"/>
      <c r="C1872" s="916"/>
      <c r="D1872" s="916"/>
      <c r="E1872" s="907"/>
      <c r="F1872" s="841"/>
      <c r="G1872" s="841"/>
      <c r="H1872" s="840">
        <f t="shared" si="58"/>
        <v>0</v>
      </c>
      <c r="I1872" s="840">
        <f t="shared" si="59"/>
        <v>0</v>
      </c>
    </row>
    <row r="1873" spans="1:9" s="302" customFormat="1" ht="18" hidden="1" customHeight="1">
      <c r="A1873" s="1071"/>
      <c r="B1873" s="475"/>
      <c r="C1873" s="916"/>
      <c r="D1873" s="916"/>
      <c r="E1873" s="905"/>
      <c r="F1873" s="841"/>
      <c r="G1873" s="841"/>
      <c r="H1873" s="840">
        <f t="shared" si="58"/>
        <v>0</v>
      </c>
      <c r="I1873" s="840">
        <f t="shared" si="59"/>
        <v>0</v>
      </c>
    </row>
    <row r="1874" spans="1:9" s="302" customFormat="1" ht="18" hidden="1" customHeight="1">
      <c r="A1874" s="1071"/>
      <c r="B1874" s="864"/>
      <c r="C1874" s="917"/>
      <c r="D1874" s="917"/>
      <c r="E1874" s="918"/>
      <c r="F1874" s="841"/>
      <c r="G1874" s="841"/>
      <c r="H1874" s="840">
        <f t="shared" si="58"/>
        <v>0</v>
      </c>
      <c r="I1874" s="840">
        <f t="shared" si="59"/>
        <v>0</v>
      </c>
    </row>
    <row r="1875" spans="1:9">
      <c r="A1875" s="1081"/>
      <c r="B1875" s="461" t="s">
        <v>253</v>
      </c>
      <c r="C1875" s="919">
        <f>SUM(C1781:C1874)</f>
        <v>1849700</v>
      </c>
      <c r="D1875" s="919">
        <f>SUM(D1781:D1874)</f>
        <v>1849700</v>
      </c>
      <c r="E1875" s="919">
        <f>SUM(E1781:E1874)</f>
        <v>0</v>
      </c>
      <c r="F1875" s="850">
        <f>SUM(F1781:F1782)</f>
        <v>0</v>
      </c>
      <c r="G1875" s="851">
        <f>SUM(G1781:G1782)</f>
        <v>0</v>
      </c>
      <c r="H1875" s="840">
        <f t="shared" si="58"/>
        <v>0</v>
      </c>
      <c r="I1875" s="840">
        <f t="shared" si="59"/>
        <v>3699400</v>
      </c>
    </row>
    <row r="1876" spans="1:9" ht="75">
      <c r="A1876" s="1081" t="s">
        <v>456</v>
      </c>
      <c r="B1876" s="887" t="s">
        <v>952</v>
      </c>
      <c r="C1876" s="907">
        <v>81900</v>
      </c>
      <c r="D1876" s="530">
        <v>81900</v>
      </c>
      <c r="E1876" s="907"/>
      <c r="F1876" s="854"/>
      <c r="G1876" s="854"/>
      <c r="H1876" s="840">
        <f t="shared" si="58"/>
        <v>0</v>
      </c>
      <c r="I1876" s="840">
        <f t="shared" si="59"/>
        <v>163800</v>
      </c>
    </row>
    <row r="1877" spans="1:9" ht="93.75">
      <c r="A1877" s="1081"/>
      <c r="B1877" s="475" t="s">
        <v>1315</v>
      </c>
      <c r="C1877" s="530">
        <v>15000</v>
      </c>
      <c r="D1877" s="530">
        <v>15000</v>
      </c>
      <c r="E1877" s="905"/>
      <c r="F1877" s="854"/>
      <c r="G1877" s="854"/>
      <c r="H1877" s="840">
        <f t="shared" si="58"/>
        <v>0</v>
      </c>
      <c r="I1877" s="840">
        <f t="shared" si="59"/>
        <v>30000</v>
      </c>
    </row>
    <row r="1878" spans="1:9" ht="37.5">
      <c r="A1878" s="1081"/>
      <c r="B1878" s="475" t="s">
        <v>1316</v>
      </c>
      <c r="C1878" s="530">
        <v>25000</v>
      </c>
      <c r="D1878" s="530">
        <v>25000</v>
      </c>
      <c r="E1878" s="905"/>
      <c r="F1878" s="841"/>
      <c r="G1878" s="841"/>
      <c r="H1878" s="840">
        <f t="shared" si="58"/>
        <v>0</v>
      </c>
      <c r="I1878" s="840">
        <f t="shared" si="59"/>
        <v>50000</v>
      </c>
    </row>
    <row r="1879" spans="1:9" ht="56.25">
      <c r="A1879" s="1081"/>
      <c r="B1879" s="475" t="s">
        <v>1317</v>
      </c>
      <c r="C1879" s="530">
        <v>15000</v>
      </c>
      <c r="D1879" s="530">
        <v>15000</v>
      </c>
      <c r="E1879" s="905"/>
      <c r="F1879" s="841"/>
      <c r="G1879" s="841"/>
      <c r="H1879" s="840">
        <f t="shared" si="58"/>
        <v>0</v>
      </c>
      <c r="I1879" s="840">
        <f t="shared" si="59"/>
        <v>30000</v>
      </c>
    </row>
    <row r="1880" spans="1:9" ht="75">
      <c r="A1880" s="1081"/>
      <c r="B1880" s="475" t="s">
        <v>1318</v>
      </c>
      <c r="C1880" s="530">
        <v>15000</v>
      </c>
      <c r="D1880" s="530">
        <v>15000</v>
      </c>
      <c r="E1880" s="905"/>
      <c r="F1880" s="841"/>
      <c r="G1880" s="841"/>
      <c r="H1880" s="840">
        <f t="shared" si="58"/>
        <v>0</v>
      </c>
      <c r="I1880" s="840">
        <f t="shared" si="59"/>
        <v>30000</v>
      </c>
    </row>
    <row r="1881" spans="1:9" ht="37.5">
      <c r="A1881" s="1081"/>
      <c r="B1881" s="475" t="s">
        <v>1319</v>
      </c>
      <c r="C1881" s="530">
        <v>10000</v>
      </c>
      <c r="D1881" s="530"/>
      <c r="E1881" s="905">
        <v>10000</v>
      </c>
      <c r="F1881" s="841"/>
      <c r="G1881" s="841"/>
      <c r="H1881" s="840">
        <f t="shared" si="58"/>
        <v>0</v>
      </c>
      <c r="I1881" s="840">
        <f t="shared" si="59"/>
        <v>20000</v>
      </c>
    </row>
    <row r="1882" spans="1:9" ht="56.25">
      <c r="A1882" s="1081"/>
      <c r="B1882" s="475" t="s">
        <v>1320</v>
      </c>
      <c r="C1882" s="530">
        <v>25000</v>
      </c>
      <c r="D1882" s="530">
        <v>25000</v>
      </c>
      <c r="E1882" s="905"/>
      <c r="F1882" s="841"/>
      <c r="G1882" s="841"/>
      <c r="H1882" s="840">
        <f t="shared" si="58"/>
        <v>0</v>
      </c>
      <c r="I1882" s="840">
        <f t="shared" si="59"/>
        <v>50000</v>
      </c>
    </row>
    <row r="1883" spans="1:9" ht="56.25">
      <c r="A1883" s="1081"/>
      <c r="B1883" s="890" t="s">
        <v>2641</v>
      </c>
      <c r="C1883" s="911">
        <v>600000</v>
      </c>
      <c r="D1883" s="911"/>
      <c r="E1883" s="911">
        <v>600000</v>
      </c>
      <c r="F1883" s="841"/>
      <c r="G1883" s="841"/>
      <c r="H1883" s="840">
        <f t="shared" si="58"/>
        <v>0</v>
      </c>
      <c r="I1883" s="840">
        <f t="shared" si="59"/>
        <v>1200000</v>
      </c>
    </row>
    <row r="1884" spans="1:9" ht="56.25">
      <c r="A1884" s="1081"/>
      <c r="B1884" s="475" t="s">
        <v>2087</v>
      </c>
      <c r="C1884" s="908">
        <v>15000</v>
      </c>
      <c r="D1884" s="908">
        <v>15000</v>
      </c>
      <c r="E1884" s="905"/>
      <c r="F1884" s="841"/>
      <c r="G1884" s="841"/>
      <c r="H1884" s="840">
        <f t="shared" si="58"/>
        <v>0</v>
      </c>
      <c r="I1884" s="840">
        <f t="shared" si="59"/>
        <v>30000</v>
      </c>
    </row>
    <row r="1885" spans="1:9" ht="56.25">
      <c r="A1885" s="1081"/>
      <c r="B1885" s="535" t="s">
        <v>2088</v>
      </c>
      <c r="C1885" s="908">
        <v>16000</v>
      </c>
      <c r="D1885" s="908"/>
      <c r="E1885" s="905">
        <v>16000</v>
      </c>
      <c r="F1885" s="841"/>
      <c r="G1885" s="841"/>
      <c r="H1885" s="840">
        <f t="shared" si="58"/>
        <v>0</v>
      </c>
      <c r="I1885" s="840">
        <f t="shared" si="59"/>
        <v>32000</v>
      </c>
    </row>
    <row r="1886" spans="1:9" ht="56.25">
      <c r="A1886" s="1081"/>
      <c r="B1886" s="475" t="s">
        <v>2459</v>
      </c>
      <c r="C1886" s="908">
        <v>30000</v>
      </c>
      <c r="D1886" s="908">
        <v>30000</v>
      </c>
      <c r="E1886" s="905"/>
      <c r="F1886" s="841"/>
      <c r="G1886" s="841"/>
      <c r="H1886" s="840">
        <f t="shared" si="58"/>
        <v>0</v>
      </c>
      <c r="I1886" s="840">
        <f t="shared" si="59"/>
        <v>60000</v>
      </c>
    </row>
    <row r="1887" spans="1:9" ht="93.75">
      <c r="A1887" s="1081"/>
      <c r="B1887" s="475" t="s">
        <v>2460</v>
      </c>
      <c r="C1887" s="908">
        <v>40000</v>
      </c>
      <c r="D1887" s="908">
        <v>40000</v>
      </c>
      <c r="E1887" s="905"/>
      <c r="F1887" s="841"/>
      <c r="G1887" s="841"/>
      <c r="H1887" s="840">
        <f t="shared" si="58"/>
        <v>0</v>
      </c>
      <c r="I1887" s="840">
        <f t="shared" si="59"/>
        <v>80000</v>
      </c>
    </row>
    <row r="1888" spans="1:9" ht="56.25">
      <c r="A1888" s="1081"/>
      <c r="B1888" s="475" t="s">
        <v>2582</v>
      </c>
      <c r="C1888" s="905">
        <v>10000</v>
      </c>
      <c r="D1888" s="905">
        <v>10000</v>
      </c>
      <c r="E1888" s="905"/>
      <c r="F1888" s="841"/>
      <c r="G1888" s="841"/>
      <c r="H1888" s="840">
        <f t="shared" si="58"/>
        <v>0</v>
      </c>
      <c r="I1888" s="840">
        <f t="shared" si="59"/>
        <v>20000</v>
      </c>
    </row>
    <row r="1889" spans="1:9" ht="93.75">
      <c r="A1889" s="1081"/>
      <c r="B1889" s="475" t="s">
        <v>2795</v>
      </c>
      <c r="C1889" s="915">
        <v>15000</v>
      </c>
      <c r="D1889" s="915">
        <v>15000</v>
      </c>
      <c r="E1889" s="914"/>
      <c r="F1889" s="841"/>
      <c r="G1889" s="841"/>
      <c r="H1889" s="840">
        <f t="shared" si="58"/>
        <v>0</v>
      </c>
      <c r="I1889" s="840">
        <f t="shared" si="59"/>
        <v>30000</v>
      </c>
    </row>
    <row r="1890" spans="1:9" ht="75">
      <c r="A1890" s="1081"/>
      <c r="B1890" s="475" t="s">
        <v>2796</v>
      </c>
      <c r="C1890" s="915">
        <v>8500</v>
      </c>
      <c r="D1890" s="915">
        <v>2000</v>
      </c>
      <c r="E1890" s="914">
        <v>6500</v>
      </c>
      <c r="F1890" s="841"/>
      <c r="G1890" s="841"/>
      <c r="H1890" s="840">
        <f t="shared" si="58"/>
        <v>0</v>
      </c>
      <c r="I1890" s="840">
        <f t="shared" si="59"/>
        <v>17000</v>
      </c>
    </row>
    <row r="1891" spans="1:9" ht="56.25">
      <c r="A1891" s="1081"/>
      <c r="B1891" s="475" t="s">
        <v>2797</v>
      </c>
      <c r="C1891" s="915">
        <v>20000</v>
      </c>
      <c r="D1891" s="915">
        <v>20000</v>
      </c>
      <c r="E1891" s="914"/>
      <c r="F1891" s="841"/>
      <c r="G1891" s="841"/>
      <c r="H1891" s="840">
        <f t="shared" si="58"/>
        <v>0</v>
      </c>
      <c r="I1891" s="840">
        <f t="shared" si="59"/>
        <v>40000</v>
      </c>
    </row>
    <row r="1892" spans="1:9" ht="56.25">
      <c r="A1892" s="1081"/>
      <c r="B1892" s="475" t="s">
        <v>2798</v>
      </c>
      <c r="C1892" s="915">
        <v>10000</v>
      </c>
      <c r="D1892" s="915">
        <v>10000</v>
      </c>
      <c r="E1892" s="914"/>
      <c r="F1892" s="841"/>
      <c r="G1892" s="841"/>
      <c r="H1892" s="840">
        <f t="shared" si="58"/>
        <v>0</v>
      </c>
      <c r="I1892" s="840">
        <f t="shared" si="59"/>
        <v>20000</v>
      </c>
    </row>
    <row r="1893" spans="1:9" ht="56.25">
      <c r="A1893" s="1081"/>
      <c r="B1893" s="475" t="s">
        <v>2799</v>
      </c>
      <c r="C1893" s="915">
        <v>10000</v>
      </c>
      <c r="D1893" s="915"/>
      <c r="E1893" s="914">
        <v>10000</v>
      </c>
      <c r="F1893" s="841"/>
      <c r="G1893" s="841"/>
      <c r="H1893" s="840">
        <f t="shared" si="58"/>
        <v>0</v>
      </c>
      <c r="I1893" s="840">
        <f t="shared" si="59"/>
        <v>20000</v>
      </c>
    </row>
    <row r="1894" spans="1:9" ht="56.25">
      <c r="A1894" s="1081"/>
      <c r="B1894" s="475" t="s">
        <v>2800</v>
      </c>
      <c r="C1894" s="915">
        <v>5941</v>
      </c>
      <c r="D1894" s="915">
        <v>5941</v>
      </c>
      <c r="E1894" s="914"/>
      <c r="F1894" s="841"/>
      <c r="G1894" s="841"/>
      <c r="H1894" s="840">
        <f t="shared" si="58"/>
        <v>0</v>
      </c>
      <c r="I1894" s="840">
        <f t="shared" si="59"/>
        <v>11882</v>
      </c>
    </row>
    <row r="1895" spans="1:9" ht="93.75">
      <c r="A1895" s="1081"/>
      <c r="B1895" s="475" t="s">
        <v>2801</v>
      </c>
      <c r="C1895" s="908">
        <v>30000</v>
      </c>
      <c r="D1895" s="908">
        <v>5000</v>
      </c>
      <c r="E1895" s="905">
        <v>25000</v>
      </c>
      <c r="F1895" s="841"/>
      <c r="G1895" s="841"/>
      <c r="H1895" s="840">
        <f t="shared" si="58"/>
        <v>0</v>
      </c>
      <c r="I1895" s="840">
        <f t="shared" si="59"/>
        <v>60000</v>
      </c>
    </row>
    <row r="1896" spans="1:9" ht="37.5">
      <c r="A1896" s="1081"/>
      <c r="B1896" s="846" t="s">
        <v>2802</v>
      </c>
      <c r="C1896" s="933">
        <v>10000</v>
      </c>
      <c r="D1896" s="908">
        <v>10000</v>
      </c>
      <c r="E1896" s="905"/>
      <c r="F1896" s="841"/>
      <c r="G1896" s="841"/>
      <c r="H1896" s="840">
        <f t="shared" si="58"/>
        <v>0</v>
      </c>
      <c r="I1896" s="840">
        <f t="shared" si="59"/>
        <v>20000</v>
      </c>
    </row>
    <row r="1897" spans="1:9" ht="56.25">
      <c r="A1897" s="1081"/>
      <c r="B1897" s="535" t="s">
        <v>2803</v>
      </c>
      <c r="C1897" s="915">
        <v>35000</v>
      </c>
      <c r="D1897" s="915">
        <v>35000</v>
      </c>
      <c r="E1897" s="914"/>
      <c r="F1897" s="841"/>
      <c r="G1897" s="841"/>
      <c r="H1897" s="840">
        <f t="shared" si="58"/>
        <v>0</v>
      </c>
      <c r="I1897" s="840">
        <f t="shared" si="59"/>
        <v>70000</v>
      </c>
    </row>
    <row r="1898" spans="1:9" hidden="1">
      <c r="A1898" s="1081"/>
      <c r="B1898" s="475"/>
      <c r="C1898" s="916"/>
      <c r="D1898" s="916"/>
      <c r="E1898" s="905"/>
      <c r="F1898" s="841"/>
      <c r="G1898" s="841"/>
      <c r="H1898" s="840">
        <f t="shared" si="58"/>
        <v>0</v>
      </c>
      <c r="I1898" s="840">
        <f t="shared" si="59"/>
        <v>0</v>
      </c>
    </row>
    <row r="1899" spans="1:9" hidden="1">
      <c r="A1899" s="1081"/>
      <c r="B1899" s="475"/>
      <c r="C1899" s="916"/>
      <c r="D1899" s="916"/>
      <c r="E1899" s="905"/>
      <c r="F1899" s="841"/>
      <c r="G1899" s="841"/>
      <c r="H1899" s="840">
        <f t="shared" si="58"/>
        <v>0</v>
      </c>
      <c r="I1899" s="840">
        <f t="shared" si="59"/>
        <v>0</v>
      </c>
    </row>
    <row r="1900" spans="1:9" hidden="1">
      <c r="A1900" s="1081"/>
      <c r="B1900" s="475"/>
      <c r="C1900" s="916"/>
      <c r="D1900" s="916"/>
      <c r="E1900" s="905"/>
      <c r="F1900" s="841"/>
      <c r="G1900" s="841"/>
      <c r="H1900" s="840">
        <f t="shared" si="58"/>
        <v>0</v>
      </c>
      <c r="I1900" s="840">
        <f t="shared" si="59"/>
        <v>0</v>
      </c>
    </row>
    <row r="1901" spans="1:9" hidden="1">
      <c r="A1901" s="1081"/>
      <c r="B1901" s="475"/>
      <c r="C1901" s="905"/>
      <c r="D1901" s="905"/>
      <c r="E1901" s="905"/>
      <c r="F1901" s="841"/>
      <c r="G1901" s="841"/>
      <c r="H1901" s="840">
        <f t="shared" si="58"/>
        <v>0</v>
      </c>
      <c r="I1901" s="840">
        <f t="shared" si="59"/>
        <v>0</v>
      </c>
    </row>
    <row r="1902" spans="1:9" hidden="1">
      <c r="A1902" s="1081"/>
      <c r="B1902" s="890"/>
      <c r="C1902" s="905"/>
      <c r="D1902" s="905"/>
      <c r="E1902" s="905"/>
      <c r="F1902" s="841"/>
      <c r="G1902" s="841"/>
      <c r="H1902" s="840">
        <f t="shared" si="58"/>
        <v>0</v>
      </c>
      <c r="I1902" s="840">
        <f t="shared" si="59"/>
        <v>0</v>
      </c>
    </row>
    <row r="1903" spans="1:9" s="302" customFormat="1" hidden="1">
      <c r="A1903" s="1068"/>
      <c r="B1903" s="475"/>
      <c r="C1903" s="916"/>
      <c r="D1903" s="916"/>
      <c r="E1903" s="905"/>
      <c r="F1903" s="841"/>
      <c r="G1903" s="841"/>
      <c r="H1903" s="840">
        <f t="shared" si="58"/>
        <v>0</v>
      </c>
      <c r="I1903" s="840">
        <f t="shared" si="59"/>
        <v>0</v>
      </c>
    </row>
    <row r="1904" spans="1:9" s="302" customFormat="1" hidden="1">
      <c r="A1904" s="1068"/>
      <c r="B1904" s="475"/>
      <c r="C1904" s="916"/>
      <c r="D1904" s="916"/>
      <c r="E1904" s="905"/>
      <c r="F1904" s="841"/>
      <c r="G1904" s="841"/>
      <c r="H1904" s="840">
        <f t="shared" si="58"/>
        <v>0</v>
      </c>
      <c r="I1904" s="840">
        <f t="shared" si="59"/>
        <v>0</v>
      </c>
    </row>
    <row r="1905" spans="1:9" s="302" customFormat="1" hidden="1">
      <c r="A1905" s="1068"/>
      <c r="B1905" s="890"/>
      <c r="C1905" s="905"/>
      <c r="D1905" s="931"/>
      <c r="E1905" s="931"/>
      <c r="F1905" s="841"/>
      <c r="G1905" s="841"/>
      <c r="H1905" s="840">
        <f t="shared" si="58"/>
        <v>0</v>
      </c>
      <c r="I1905" s="840">
        <f t="shared" si="59"/>
        <v>0</v>
      </c>
    </row>
    <row r="1906" spans="1:9" s="302" customFormat="1" hidden="1">
      <c r="A1906" s="1068"/>
      <c r="B1906" s="890"/>
      <c r="C1906" s="905"/>
      <c r="D1906" s="931"/>
      <c r="E1906" s="931"/>
      <c r="F1906" s="841"/>
      <c r="G1906" s="841"/>
      <c r="H1906" s="840">
        <f t="shared" si="58"/>
        <v>0</v>
      </c>
      <c r="I1906" s="840">
        <f t="shared" si="59"/>
        <v>0</v>
      </c>
    </row>
    <row r="1907" spans="1:9" s="302" customFormat="1" hidden="1">
      <c r="A1907" s="1068"/>
      <c r="B1907" s="890"/>
      <c r="C1907" s="905"/>
      <c r="D1907" s="931"/>
      <c r="E1907" s="931"/>
      <c r="F1907" s="841"/>
      <c r="G1907" s="841"/>
      <c r="H1907" s="840">
        <f t="shared" si="58"/>
        <v>0</v>
      </c>
      <c r="I1907" s="840">
        <f t="shared" si="59"/>
        <v>0</v>
      </c>
    </row>
    <row r="1908" spans="1:9" s="302" customFormat="1" hidden="1">
      <c r="A1908" s="1068"/>
      <c r="B1908" s="890"/>
      <c r="C1908" s="905"/>
      <c r="D1908" s="931"/>
      <c r="E1908" s="931"/>
      <c r="F1908" s="841"/>
      <c r="G1908" s="841"/>
      <c r="H1908" s="840">
        <f t="shared" si="58"/>
        <v>0</v>
      </c>
      <c r="I1908" s="840">
        <f t="shared" si="59"/>
        <v>0</v>
      </c>
    </row>
    <row r="1909" spans="1:9" s="302" customFormat="1" hidden="1">
      <c r="A1909" s="1068"/>
      <c r="B1909" s="890"/>
      <c r="C1909" s="905"/>
      <c r="D1909" s="931"/>
      <c r="E1909" s="931"/>
      <c r="F1909" s="841"/>
      <c r="G1909" s="841"/>
      <c r="H1909" s="840">
        <f t="shared" si="58"/>
        <v>0</v>
      </c>
      <c r="I1909" s="840">
        <f t="shared" si="59"/>
        <v>0</v>
      </c>
    </row>
    <row r="1910" spans="1:9" s="302" customFormat="1" hidden="1">
      <c r="A1910" s="1068"/>
      <c r="B1910" s="475"/>
      <c r="C1910" s="916"/>
      <c r="D1910" s="916"/>
      <c r="E1910" s="905"/>
      <c r="F1910" s="841"/>
      <c r="G1910" s="841"/>
      <c r="H1910" s="840">
        <f t="shared" si="58"/>
        <v>0</v>
      </c>
      <c r="I1910" s="840">
        <f t="shared" si="59"/>
        <v>0</v>
      </c>
    </row>
    <row r="1911" spans="1:9" s="302" customFormat="1" hidden="1">
      <c r="A1911" s="1068"/>
      <c r="B1911" s="475"/>
      <c r="C1911" s="916"/>
      <c r="D1911" s="916"/>
      <c r="E1911" s="916"/>
      <c r="F1911" s="841"/>
      <c r="G1911" s="841"/>
      <c r="H1911" s="840">
        <f t="shared" si="58"/>
        <v>0</v>
      </c>
      <c r="I1911" s="840">
        <f t="shared" si="59"/>
        <v>0</v>
      </c>
    </row>
    <row r="1912" spans="1:9" s="302" customFormat="1" hidden="1">
      <c r="A1912" s="1068"/>
      <c r="B1912" s="475"/>
      <c r="C1912" s="916"/>
      <c r="D1912" s="916"/>
      <c r="E1912" s="905"/>
      <c r="F1912" s="841"/>
      <c r="G1912" s="841"/>
      <c r="H1912" s="840">
        <f t="shared" si="58"/>
        <v>0</v>
      </c>
      <c r="I1912" s="840">
        <f t="shared" si="59"/>
        <v>0</v>
      </c>
    </row>
    <row r="1913" spans="1:9" s="302" customFormat="1" hidden="1">
      <c r="A1913" s="1068"/>
      <c r="B1913" s="475"/>
      <c r="C1913" s="916"/>
      <c r="D1913" s="916"/>
      <c r="E1913" s="905"/>
      <c r="F1913" s="841"/>
      <c r="G1913" s="841"/>
      <c r="H1913" s="840">
        <f t="shared" si="58"/>
        <v>0</v>
      </c>
      <c r="I1913" s="840">
        <f t="shared" si="59"/>
        <v>0</v>
      </c>
    </row>
    <row r="1914" spans="1:9" s="302" customFormat="1" hidden="1">
      <c r="A1914" s="1068"/>
      <c r="B1914" s="475"/>
      <c r="C1914" s="916"/>
      <c r="D1914" s="916"/>
      <c r="E1914" s="905"/>
      <c r="F1914" s="841"/>
      <c r="G1914" s="841"/>
      <c r="H1914" s="840">
        <f t="shared" si="58"/>
        <v>0</v>
      </c>
      <c r="I1914" s="840">
        <f t="shared" si="59"/>
        <v>0</v>
      </c>
    </row>
    <row r="1915" spans="1:9" s="302" customFormat="1" hidden="1">
      <c r="A1915" s="1068"/>
      <c r="B1915" s="475"/>
      <c r="C1915" s="916"/>
      <c r="D1915" s="916"/>
      <c r="E1915" s="905"/>
      <c r="F1915" s="841"/>
      <c r="G1915" s="841"/>
      <c r="H1915" s="840">
        <f t="shared" si="58"/>
        <v>0</v>
      </c>
      <c r="I1915" s="840">
        <f t="shared" si="59"/>
        <v>0</v>
      </c>
    </row>
    <row r="1916" spans="1:9" s="302" customFormat="1" hidden="1">
      <c r="A1916" s="1068"/>
      <c r="B1916" s="475"/>
      <c r="C1916" s="916"/>
      <c r="D1916" s="916"/>
      <c r="E1916" s="905"/>
      <c r="F1916" s="841"/>
      <c r="G1916" s="841"/>
      <c r="H1916" s="840">
        <f t="shared" si="58"/>
        <v>0</v>
      </c>
      <c r="I1916" s="840">
        <f t="shared" si="59"/>
        <v>0</v>
      </c>
    </row>
    <row r="1917" spans="1:9" s="302" customFormat="1" hidden="1">
      <c r="A1917" s="1068"/>
      <c r="B1917" s="475"/>
      <c r="C1917" s="916"/>
      <c r="D1917" s="916"/>
      <c r="E1917" s="916"/>
      <c r="F1917" s="841"/>
      <c r="G1917" s="841"/>
      <c r="H1917" s="840">
        <f t="shared" si="58"/>
        <v>0</v>
      </c>
      <c r="I1917" s="840">
        <f t="shared" si="59"/>
        <v>0</v>
      </c>
    </row>
    <row r="1918" spans="1:9" s="302" customFormat="1" hidden="1">
      <c r="A1918" s="1068"/>
      <c r="B1918" s="475"/>
      <c r="C1918" s="916"/>
      <c r="D1918" s="916"/>
      <c r="E1918" s="905"/>
      <c r="F1918" s="841"/>
      <c r="G1918" s="841"/>
      <c r="H1918" s="840">
        <f t="shared" si="58"/>
        <v>0</v>
      </c>
      <c r="I1918" s="840">
        <f t="shared" si="59"/>
        <v>0</v>
      </c>
    </row>
    <row r="1919" spans="1:9" s="302" customFormat="1" hidden="1">
      <c r="A1919" s="1068"/>
      <c r="B1919" s="475"/>
      <c r="C1919" s="916"/>
      <c r="D1919" s="916"/>
      <c r="E1919" s="905"/>
      <c r="F1919" s="841"/>
      <c r="G1919" s="841"/>
      <c r="H1919" s="840">
        <f t="shared" si="58"/>
        <v>0</v>
      </c>
      <c r="I1919" s="840">
        <f t="shared" si="59"/>
        <v>0</v>
      </c>
    </row>
    <row r="1920" spans="1:9" s="302" customFormat="1" hidden="1">
      <c r="A1920" s="1068"/>
      <c r="B1920" s="475"/>
      <c r="C1920" s="916"/>
      <c r="D1920" s="916"/>
      <c r="E1920" s="905"/>
      <c r="F1920" s="841"/>
      <c r="G1920" s="841"/>
      <c r="H1920" s="840">
        <f t="shared" si="58"/>
        <v>0</v>
      </c>
      <c r="I1920" s="840">
        <f t="shared" si="59"/>
        <v>0</v>
      </c>
    </row>
    <row r="1921" spans="1:9" s="302" customFormat="1" hidden="1">
      <c r="A1921" s="1068"/>
      <c r="B1921" s="475"/>
      <c r="C1921" s="916"/>
      <c r="D1921" s="916"/>
      <c r="E1921" s="905"/>
      <c r="F1921" s="841"/>
      <c r="G1921" s="841"/>
      <c r="H1921" s="840">
        <f t="shared" si="58"/>
        <v>0</v>
      </c>
      <c r="I1921" s="840">
        <f t="shared" si="59"/>
        <v>0</v>
      </c>
    </row>
    <row r="1922" spans="1:9" s="302" customFormat="1" hidden="1">
      <c r="A1922" s="1068"/>
      <c r="B1922" s="475"/>
      <c r="C1922" s="916"/>
      <c r="D1922" s="916"/>
      <c r="E1922" s="905"/>
      <c r="F1922" s="841"/>
      <c r="G1922" s="841"/>
      <c r="H1922" s="840">
        <f t="shared" si="58"/>
        <v>0</v>
      </c>
      <c r="I1922" s="840">
        <f t="shared" si="59"/>
        <v>0</v>
      </c>
    </row>
    <row r="1923" spans="1:9" s="302" customFormat="1" hidden="1">
      <c r="A1923" s="1068"/>
      <c r="B1923" s="475"/>
      <c r="C1923" s="916"/>
      <c r="D1923" s="916"/>
      <c r="E1923" s="916"/>
      <c r="F1923" s="841"/>
      <c r="G1923" s="841"/>
      <c r="H1923" s="840">
        <f t="shared" si="58"/>
        <v>0</v>
      </c>
      <c r="I1923" s="840">
        <f t="shared" si="59"/>
        <v>0</v>
      </c>
    </row>
    <row r="1924" spans="1:9" s="302" customFormat="1" hidden="1">
      <c r="A1924" s="1068"/>
      <c r="B1924" s="475"/>
      <c r="C1924" s="916"/>
      <c r="D1924" s="916"/>
      <c r="E1924" s="905"/>
      <c r="F1924" s="841"/>
      <c r="G1924" s="841"/>
      <c r="H1924" s="840">
        <f t="shared" si="58"/>
        <v>0</v>
      </c>
      <c r="I1924" s="840">
        <f t="shared" si="59"/>
        <v>0</v>
      </c>
    </row>
    <row r="1925" spans="1:9" s="302" customFormat="1" hidden="1">
      <c r="A1925" s="1068"/>
      <c r="B1925" s="475"/>
      <c r="C1925" s="916"/>
      <c r="D1925" s="916"/>
      <c r="E1925" s="905"/>
      <c r="F1925" s="841"/>
      <c r="G1925" s="841"/>
      <c r="H1925" s="840">
        <f t="shared" si="58"/>
        <v>0</v>
      </c>
      <c r="I1925" s="840">
        <f t="shared" si="59"/>
        <v>0</v>
      </c>
    </row>
    <row r="1926" spans="1:9" s="302" customFormat="1" hidden="1">
      <c r="A1926" s="1068"/>
      <c r="B1926" s="475"/>
      <c r="C1926" s="916"/>
      <c r="D1926" s="916"/>
      <c r="E1926" s="916"/>
      <c r="F1926" s="841"/>
      <c r="G1926" s="841"/>
      <c r="H1926" s="840">
        <f t="shared" si="58"/>
        <v>0</v>
      </c>
      <c r="I1926" s="840">
        <f t="shared" si="59"/>
        <v>0</v>
      </c>
    </row>
    <row r="1927" spans="1:9" s="302" customFormat="1" hidden="1">
      <c r="A1927" s="1068"/>
      <c r="B1927" s="475"/>
      <c r="C1927" s="916"/>
      <c r="D1927" s="916"/>
      <c r="E1927" s="905"/>
      <c r="F1927" s="841"/>
      <c r="G1927" s="841"/>
      <c r="H1927" s="840">
        <f t="shared" si="58"/>
        <v>0</v>
      </c>
      <c r="I1927" s="840">
        <f t="shared" si="59"/>
        <v>0</v>
      </c>
    </row>
    <row r="1928" spans="1:9" s="302" customFormat="1" hidden="1">
      <c r="A1928" s="1068"/>
      <c r="B1928" s="475"/>
      <c r="C1928" s="916"/>
      <c r="D1928" s="916"/>
      <c r="E1928" s="905"/>
      <c r="F1928" s="841"/>
      <c r="G1928" s="841"/>
      <c r="H1928" s="840">
        <f t="shared" si="58"/>
        <v>0</v>
      </c>
      <c r="I1928" s="840">
        <f t="shared" si="59"/>
        <v>0</v>
      </c>
    </row>
    <row r="1929" spans="1:9" s="302" customFormat="1" hidden="1">
      <c r="A1929" s="1068"/>
      <c r="B1929" s="475"/>
      <c r="C1929" s="916"/>
      <c r="D1929" s="916"/>
      <c r="E1929" s="905"/>
      <c r="F1929" s="841"/>
      <c r="G1929" s="841"/>
      <c r="H1929" s="840">
        <f t="shared" ref="H1929:H1992" si="60">E1929+D1929-C1929</f>
        <v>0</v>
      </c>
      <c r="I1929" s="840">
        <f t="shared" ref="I1929:I1992" si="61">SUM(C1929:E1929)</f>
        <v>0</v>
      </c>
    </row>
    <row r="1930" spans="1:9" s="302" customFormat="1" hidden="1">
      <c r="A1930" s="1068"/>
      <c r="B1930" s="475"/>
      <c r="C1930" s="916"/>
      <c r="D1930" s="916"/>
      <c r="E1930" s="905"/>
      <c r="F1930" s="841"/>
      <c r="G1930" s="841"/>
      <c r="H1930" s="840">
        <f t="shared" si="60"/>
        <v>0</v>
      </c>
      <c r="I1930" s="840">
        <f t="shared" si="61"/>
        <v>0</v>
      </c>
    </row>
    <row r="1931" spans="1:9" s="302" customFormat="1" hidden="1">
      <c r="A1931" s="1068"/>
      <c r="B1931" s="475"/>
      <c r="C1931" s="916"/>
      <c r="D1931" s="916"/>
      <c r="E1931" s="905"/>
      <c r="F1931" s="841"/>
      <c r="G1931" s="841"/>
      <c r="H1931" s="840">
        <f t="shared" si="60"/>
        <v>0</v>
      </c>
      <c r="I1931" s="840">
        <f t="shared" si="61"/>
        <v>0</v>
      </c>
    </row>
    <row r="1932" spans="1:9" s="302" customFormat="1" hidden="1">
      <c r="A1932" s="1068"/>
      <c r="B1932" s="475"/>
      <c r="C1932" s="916"/>
      <c r="D1932" s="916"/>
      <c r="E1932" s="905"/>
      <c r="F1932" s="841"/>
      <c r="G1932" s="841"/>
      <c r="H1932" s="840">
        <f t="shared" si="60"/>
        <v>0</v>
      </c>
      <c r="I1932" s="840">
        <f t="shared" si="61"/>
        <v>0</v>
      </c>
    </row>
    <row r="1933" spans="1:9" s="302" customFormat="1" hidden="1">
      <c r="A1933" s="1068"/>
      <c r="B1933" s="475"/>
      <c r="C1933" s="916"/>
      <c r="D1933" s="916"/>
      <c r="E1933" s="905"/>
      <c r="F1933" s="841"/>
      <c r="G1933" s="841"/>
      <c r="H1933" s="840">
        <f t="shared" si="60"/>
        <v>0</v>
      </c>
      <c r="I1933" s="840">
        <f t="shared" si="61"/>
        <v>0</v>
      </c>
    </row>
    <row r="1934" spans="1:9" s="302" customFormat="1" hidden="1">
      <c r="A1934" s="1068"/>
      <c r="B1934" s="475"/>
      <c r="C1934" s="916"/>
      <c r="D1934" s="916"/>
      <c r="E1934" s="905"/>
      <c r="F1934" s="841"/>
      <c r="G1934" s="841"/>
      <c r="H1934" s="840">
        <f t="shared" si="60"/>
        <v>0</v>
      </c>
      <c r="I1934" s="840">
        <f t="shared" si="61"/>
        <v>0</v>
      </c>
    </row>
    <row r="1935" spans="1:9" s="302" customFormat="1" hidden="1">
      <c r="A1935" s="1068"/>
      <c r="B1935" s="475"/>
      <c r="C1935" s="916"/>
      <c r="D1935" s="916"/>
      <c r="E1935" s="905"/>
      <c r="F1935" s="841"/>
      <c r="G1935" s="841"/>
      <c r="H1935" s="840">
        <f t="shared" si="60"/>
        <v>0</v>
      </c>
      <c r="I1935" s="840">
        <f t="shared" si="61"/>
        <v>0</v>
      </c>
    </row>
    <row r="1936" spans="1:9" s="302" customFormat="1" hidden="1">
      <c r="A1936" s="1068"/>
      <c r="B1936" s="475"/>
      <c r="C1936" s="916"/>
      <c r="D1936" s="916"/>
      <c r="E1936" s="905"/>
      <c r="F1936" s="841"/>
      <c r="G1936" s="841"/>
      <c r="H1936" s="840">
        <f t="shared" si="60"/>
        <v>0</v>
      </c>
      <c r="I1936" s="840">
        <f t="shared" si="61"/>
        <v>0</v>
      </c>
    </row>
    <row r="1937" spans="1:9" s="302" customFormat="1" hidden="1">
      <c r="A1937" s="1068"/>
      <c r="B1937" s="475"/>
      <c r="C1937" s="916"/>
      <c r="D1937" s="916"/>
      <c r="E1937" s="905"/>
      <c r="F1937" s="841"/>
      <c r="G1937" s="841"/>
      <c r="H1937" s="840">
        <f t="shared" si="60"/>
        <v>0</v>
      </c>
      <c r="I1937" s="840">
        <f t="shared" si="61"/>
        <v>0</v>
      </c>
    </row>
    <row r="1938" spans="1:9" s="302" customFormat="1" hidden="1">
      <c r="A1938" s="1068"/>
      <c r="B1938" s="475"/>
      <c r="C1938" s="916"/>
      <c r="D1938" s="916"/>
      <c r="E1938" s="905"/>
      <c r="F1938" s="841"/>
      <c r="G1938" s="841"/>
      <c r="H1938" s="840">
        <f t="shared" si="60"/>
        <v>0</v>
      </c>
      <c r="I1938" s="840">
        <f t="shared" si="61"/>
        <v>0</v>
      </c>
    </row>
    <row r="1939" spans="1:9" s="302" customFormat="1" hidden="1">
      <c r="A1939" s="1068"/>
      <c r="B1939" s="475"/>
      <c r="C1939" s="916"/>
      <c r="D1939" s="916"/>
      <c r="E1939" s="905"/>
      <c r="F1939" s="841"/>
      <c r="G1939" s="841"/>
      <c r="H1939" s="840">
        <f t="shared" si="60"/>
        <v>0</v>
      </c>
      <c r="I1939" s="840">
        <f t="shared" si="61"/>
        <v>0</v>
      </c>
    </row>
    <row r="1940" spans="1:9" s="302" customFormat="1" hidden="1">
      <c r="A1940" s="1068"/>
      <c r="B1940" s="475"/>
      <c r="C1940" s="916"/>
      <c r="D1940" s="916"/>
      <c r="E1940" s="905"/>
      <c r="F1940" s="841"/>
      <c r="G1940" s="841"/>
      <c r="H1940" s="840">
        <f t="shared" si="60"/>
        <v>0</v>
      </c>
      <c r="I1940" s="840">
        <f t="shared" si="61"/>
        <v>0</v>
      </c>
    </row>
    <row r="1941" spans="1:9" s="302" customFormat="1" hidden="1">
      <c r="A1941" s="1068"/>
      <c r="B1941" s="475"/>
      <c r="C1941" s="916"/>
      <c r="D1941" s="916"/>
      <c r="E1941" s="905"/>
      <c r="F1941" s="841"/>
      <c r="G1941" s="841"/>
      <c r="H1941" s="840">
        <f t="shared" si="60"/>
        <v>0</v>
      </c>
      <c r="I1941" s="840">
        <f t="shared" si="61"/>
        <v>0</v>
      </c>
    </row>
    <row r="1942" spans="1:9" s="302" customFormat="1" hidden="1">
      <c r="A1942" s="1068"/>
      <c r="B1942" s="475"/>
      <c r="C1942" s="916"/>
      <c r="D1942" s="916"/>
      <c r="E1942" s="905"/>
      <c r="F1942" s="841"/>
      <c r="G1942" s="841"/>
      <c r="H1942" s="840">
        <f t="shared" si="60"/>
        <v>0</v>
      </c>
      <c r="I1942" s="840">
        <f t="shared" si="61"/>
        <v>0</v>
      </c>
    </row>
    <row r="1943" spans="1:9" s="302" customFormat="1" hidden="1">
      <c r="A1943" s="1068"/>
      <c r="B1943" s="475"/>
      <c r="C1943" s="916"/>
      <c r="D1943" s="916"/>
      <c r="E1943" s="905"/>
      <c r="F1943" s="841"/>
      <c r="G1943" s="841"/>
      <c r="H1943" s="840">
        <f t="shared" si="60"/>
        <v>0</v>
      </c>
      <c r="I1943" s="840">
        <f t="shared" si="61"/>
        <v>0</v>
      </c>
    </row>
    <row r="1944" spans="1:9" s="302" customFormat="1" hidden="1">
      <c r="A1944" s="1068"/>
      <c r="B1944" s="475"/>
      <c r="C1944" s="916"/>
      <c r="D1944" s="916"/>
      <c r="E1944" s="905"/>
      <c r="F1944" s="841"/>
      <c r="G1944" s="841"/>
      <c r="H1944" s="840">
        <f t="shared" si="60"/>
        <v>0</v>
      </c>
      <c r="I1944" s="840">
        <f t="shared" si="61"/>
        <v>0</v>
      </c>
    </row>
    <row r="1945" spans="1:9" s="302" customFormat="1" hidden="1">
      <c r="A1945" s="1068"/>
      <c r="B1945" s="475"/>
      <c r="C1945" s="905"/>
      <c r="D1945" s="905"/>
      <c r="E1945" s="905"/>
      <c r="F1945" s="841"/>
      <c r="G1945" s="841"/>
      <c r="H1945" s="840">
        <f t="shared" si="60"/>
        <v>0</v>
      </c>
      <c r="I1945" s="840">
        <f t="shared" si="61"/>
        <v>0</v>
      </c>
    </row>
    <row r="1946" spans="1:9" s="302" customFormat="1" hidden="1">
      <c r="A1946" s="1068"/>
      <c r="B1946" s="475"/>
      <c r="C1946" s="916"/>
      <c r="D1946" s="916"/>
      <c r="E1946" s="905"/>
      <c r="F1946" s="841"/>
      <c r="G1946" s="841"/>
      <c r="H1946" s="840">
        <f t="shared" si="60"/>
        <v>0</v>
      </c>
      <c r="I1946" s="840">
        <f t="shared" si="61"/>
        <v>0</v>
      </c>
    </row>
    <row r="1947" spans="1:9" s="302" customFormat="1" hidden="1">
      <c r="A1947" s="1068"/>
      <c r="B1947" s="475"/>
      <c r="C1947" s="916"/>
      <c r="D1947" s="916"/>
      <c r="E1947" s="905"/>
      <c r="F1947" s="841"/>
      <c r="G1947" s="841"/>
      <c r="H1947" s="840">
        <f t="shared" si="60"/>
        <v>0</v>
      </c>
      <c r="I1947" s="840">
        <f t="shared" si="61"/>
        <v>0</v>
      </c>
    </row>
    <row r="1948" spans="1:9" s="302" customFormat="1" hidden="1">
      <c r="A1948" s="1068"/>
      <c r="B1948" s="475"/>
      <c r="C1948" s="916"/>
      <c r="D1948" s="916"/>
      <c r="E1948" s="905"/>
      <c r="F1948" s="841"/>
      <c r="G1948" s="841"/>
      <c r="H1948" s="840">
        <f t="shared" si="60"/>
        <v>0</v>
      </c>
      <c r="I1948" s="840">
        <f t="shared" si="61"/>
        <v>0</v>
      </c>
    </row>
    <row r="1949" spans="1:9" s="302" customFormat="1" hidden="1">
      <c r="A1949" s="1068"/>
      <c r="B1949" s="475"/>
      <c r="C1949" s="916"/>
      <c r="D1949" s="916"/>
      <c r="E1949" s="905"/>
      <c r="F1949" s="841"/>
      <c r="G1949" s="841"/>
      <c r="H1949" s="840">
        <f t="shared" si="60"/>
        <v>0</v>
      </c>
      <c r="I1949" s="840">
        <f t="shared" si="61"/>
        <v>0</v>
      </c>
    </row>
    <row r="1950" spans="1:9" s="302" customFormat="1" hidden="1">
      <c r="A1950" s="1068"/>
      <c r="B1950" s="475"/>
      <c r="C1950" s="916"/>
      <c r="D1950" s="916"/>
      <c r="E1950" s="905"/>
      <c r="F1950" s="841"/>
      <c r="G1950" s="841"/>
      <c r="H1950" s="840">
        <f t="shared" si="60"/>
        <v>0</v>
      </c>
      <c r="I1950" s="840">
        <f t="shared" si="61"/>
        <v>0</v>
      </c>
    </row>
    <row r="1951" spans="1:9" s="302" customFormat="1" hidden="1">
      <c r="A1951" s="1068"/>
      <c r="B1951" s="475"/>
      <c r="C1951" s="916"/>
      <c r="D1951" s="916"/>
      <c r="E1951" s="905"/>
      <c r="F1951" s="841"/>
      <c r="G1951" s="841"/>
      <c r="H1951" s="840">
        <f t="shared" si="60"/>
        <v>0</v>
      </c>
      <c r="I1951" s="840">
        <f t="shared" si="61"/>
        <v>0</v>
      </c>
    </row>
    <row r="1952" spans="1:9" s="302" customFormat="1" hidden="1">
      <c r="A1952" s="1068"/>
      <c r="B1952" s="475"/>
      <c r="C1952" s="916"/>
      <c r="D1952" s="916"/>
      <c r="E1952" s="905"/>
      <c r="F1952" s="841"/>
      <c r="G1952" s="841"/>
      <c r="H1952" s="840">
        <f t="shared" si="60"/>
        <v>0</v>
      </c>
      <c r="I1952" s="840">
        <f t="shared" si="61"/>
        <v>0</v>
      </c>
    </row>
    <row r="1953" spans="1:9" s="302" customFormat="1" hidden="1">
      <c r="A1953" s="1068"/>
      <c r="B1953" s="475"/>
      <c r="C1953" s="916"/>
      <c r="D1953" s="916"/>
      <c r="E1953" s="905"/>
      <c r="F1953" s="841"/>
      <c r="G1953" s="841"/>
      <c r="H1953" s="840">
        <f t="shared" si="60"/>
        <v>0</v>
      </c>
      <c r="I1953" s="840">
        <f t="shared" si="61"/>
        <v>0</v>
      </c>
    </row>
    <row r="1954" spans="1:9" s="302" customFormat="1" hidden="1">
      <c r="A1954" s="1068"/>
      <c r="B1954" s="475"/>
      <c r="C1954" s="916"/>
      <c r="D1954" s="916"/>
      <c r="E1954" s="905"/>
      <c r="F1954" s="841"/>
      <c r="G1954" s="841"/>
      <c r="H1954" s="840">
        <f t="shared" si="60"/>
        <v>0</v>
      </c>
      <c r="I1954" s="840">
        <f t="shared" si="61"/>
        <v>0</v>
      </c>
    </row>
    <row r="1955" spans="1:9" s="302" customFormat="1" hidden="1">
      <c r="A1955" s="1068"/>
      <c r="B1955" s="475"/>
      <c r="C1955" s="916"/>
      <c r="D1955" s="916"/>
      <c r="E1955" s="905"/>
      <c r="F1955" s="841"/>
      <c r="G1955" s="841"/>
      <c r="H1955" s="840">
        <f t="shared" si="60"/>
        <v>0</v>
      </c>
      <c r="I1955" s="840">
        <f t="shared" si="61"/>
        <v>0</v>
      </c>
    </row>
    <row r="1956" spans="1:9" s="302" customFormat="1" hidden="1">
      <c r="A1956" s="1068"/>
      <c r="B1956" s="475"/>
      <c r="C1956" s="916"/>
      <c r="D1956" s="916"/>
      <c r="E1956" s="905"/>
      <c r="F1956" s="841"/>
      <c r="G1956" s="841"/>
      <c r="H1956" s="840">
        <f t="shared" si="60"/>
        <v>0</v>
      </c>
      <c r="I1956" s="840">
        <f t="shared" si="61"/>
        <v>0</v>
      </c>
    </row>
    <row r="1957" spans="1:9" s="302" customFormat="1" hidden="1">
      <c r="A1957" s="1068"/>
      <c r="B1957" s="890"/>
      <c r="C1957" s="905"/>
      <c r="D1957" s="905"/>
      <c r="E1957" s="905"/>
      <c r="F1957" s="841"/>
      <c r="G1957" s="841"/>
      <c r="H1957" s="840">
        <f t="shared" si="60"/>
        <v>0</v>
      </c>
      <c r="I1957" s="840">
        <f t="shared" si="61"/>
        <v>0</v>
      </c>
    </row>
    <row r="1958" spans="1:9" s="302" customFormat="1" hidden="1">
      <c r="A1958" s="1068"/>
      <c r="B1958" s="475"/>
      <c r="C1958" s="905"/>
      <c r="D1958" s="905"/>
      <c r="E1958" s="905"/>
      <c r="F1958" s="841"/>
      <c r="G1958" s="841"/>
      <c r="H1958" s="840">
        <f t="shared" si="60"/>
        <v>0</v>
      </c>
      <c r="I1958" s="840">
        <f t="shared" si="61"/>
        <v>0</v>
      </c>
    </row>
    <row r="1959" spans="1:9" s="302" customFormat="1" hidden="1">
      <c r="A1959" s="1071"/>
      <c r="B1959" s="894"/>
      <c r="C1959" s="922"/>
      <c r="D1959" s="922"/>
      <c r="E1959" s="926"/>
      <c r="F1959" s="841"/>
      <c r="G1959" s="841"/>
      <c r="H1959" s="840">
        <f t="shared" si="60"/>
        <v>0</v>
      </c>
      <c r="I1959" s="840">
        <f t="shared" si="61"/>
        <v>0</v>
      </c>
    </row>
    <row r="1960" spans="1:9" s="302" customFormat="1" ht="18" hidden="1" customHeight="1">
      <c r="A1960" s="1071"/>
      <c r="B1960" s="475"/>
      <c r="C1960" s="916"/>
      <c r="D1960" s="916"/>
      <c r="E1960" s="905"/>
      <c r="F1960" s="841"/>
      <c r="G1960" s="841"/>
      <c r="H1960" s="840">
        <f t="shared" si="60"/>
        <v>0</v>
      </c>
      <c r="I1960" s="840">
        <f t="shared" si="61"/>
        <v>0</v>
      </c>
    </row>
    <row r="1961" spans="1:9" s="302" customFormat="1" ht="18" hidden="1" customHeight="1">
      <c r="A1961" s="1071"/>
      <c r="B1961" s="475"/>
      <c r="C1961" s="916"/>
      <c r="D1961" s="916"/>
      <c r="E1961" s="905"/>
      <c r="F1961" s="841"/>
      <c r="G1961" s="841"/>
      <c r="H1961" s="840">
        <f t="shared" si="60"/>
        <v>0</v>
      </c>
      <c r="I1961" s="840">
        <f t="shared" si="61"/>
        <v>0</v>
      </c>
    </row>
    <row r="1962" spans="1:9" s="302" customFormat="1" ht="18" hidden="1" customHeight="1">
      <c r="A1962" s="1071"/>
      <c r="B1962" s="475"/>
      <c r="C1962" s="916"/>
      <c r="D1962" s="916"/>
      <c r="E1962" s="905"/>
      <c r="F1962" s="841"/>
      <c r="G1962" s="841"/>
      <c r="H1962" s="840">
        <f t="shared" si="60"/>
        <v>0</v>
      </c>
      <c r="I1962" s="840">
        <f t="shared" si="61"/>
        <v>0</v>
      </c>
    </row>
    <row r="1963" spans="1:9" s="302" customFormat="1" ht="18" hidden="1" customHeight="1">
      <c r="A1963" s="1071"/>
      <c r="B1963" s="475"/>
      <c r="C1963" s="916"/>
      <c r="D1963" s="916"/>
      <c r="E1963" s="905"/>
      <c r="F1963" s="841"/>
      <c r="G1963" s="841"/>
      <c r="H1963" s="840">
        <f t="shared" si="60"/>
        <v>0</v>
      </c>
      <c r="I1963" s="840">
        <f t="shared" si="61"/>
        <v>0</v>
      </c>
    </row>
    <row r="1964" spans="1:9" s="302" customFormat="1" ht="18" hidden="1" customHeight="1">
      <c r="A1964" s="1071"/>
      <c r="B1964" s="475"/>
      <c r="C1964" s="916"/>
      <c r="D1964" s="916"/>
      <c r="E1964" s="905"/>
      <c r="F1964" s="841"/>
      <c r="G1964" s="841"/>
      <c r="H1964" s="840">
        <f t="shared" si="60"/>
        <v>0</v>
      </c>
      <c r="I1964" s="840">
        <f t="shared" si="61"/>
        <v>0</v>
      </c>
    </row>
    <row r="1965" spans="1:9" s="302" customFormat="1" ht="18" hidden="1" customHeight="1">
      <c r="A1965" s="1071"/>
      <c r="B1965" s="475"/>
      <c r="C1965" s="916"/>
      <c r="D1965" s="916"/>
      <c r="E1965" s="905"/>
      <c r="F1965" s="841"/>
      <c r="G1965" s="841"/>
      <c r="H1965" s="840">
        <f t="shared" si="60"/>
        <v>0</v>
      </c>
      <c r="I1965" s="840">
        <f t="shared" si="61"/>
        <v>0</v>
      </c>
    </row>
    <row r="1966" spans="1:9" s="302" customFormat="1" ht="18" hidden="1" customHeight="1">
      <c r="A1966" s="1071"/>
      <c r="B1966" s="475"/>
      <c r="C1966" s="916"/>
      <c r="D1966" s="916"/>
      <c r="E1966" s="905"/>
      <c r="F1966" s="841"/>
      <c r="G1966" s="841"/>
      <c r="H1966" s="840">
        <f t="shared" si="60"/>
        <v>0</v>
      </c>
      <c r="I1966" s="840">
        <f t="shared" si="61"/>
        <v>0</v>
      </c>
    </row>
    <row r="1967" spans="1:9" s="302" customFormat="1" ht="18" hidden="1" customHeight="1">
      <c r="A1967" s="1071"/>
      <c r="B1967" s="475"/>
      <c r="C1967" s="916"/>
      <c r="D1967" s="916"/>
      <c r="E1967" s="905"/>
      <c r="F1967" s="841"/>
      <c r="G1967" s="841"/>
      <c r="H1967" s="840">
        <f t="shared" si="60"/>
        <v>0</v>
      </c>
      <c r="I1967" s="840">
        <f t="shared" si="61"/>
        <v>0</v>
      </c>
    </row>
    <row r="1968" spans="1:9" s="302" customFormat="1" ht="18" hidden="1" customHeight="1">
      <c r="A1968" s="1071"/>
      <c r="B1968" s="864"/>
      <c r="C1968" s="917"/>
      <c r="D1968" s="917"/>
      <c r="E1968" s="917"/>
      <c r="F1968" s="841"/>
      <c r="G1968" s="841"/>
      <c r="H1968" s="840">
        <f t="shared" si="60"/>
        <v>0</v>
      </c>
      <c r="I1968" s="840">
        <f t="shared" si="61"/>
        <v>0</v>
      </c>
    </row>
    <row r="1969" spans="1:9">
      <c r="A1969" s="1081"/>
      <c r="B1969" s="461" t="s">
        <v>253</v>
      </c>
      <c r="C1969" s="919">
        <f>SUM(C1876:C1968)</f>
        <v>1042341</v>
      </c>
      <c r="D1969" s="919">
        <f>SUM(D1876:D1968)</f>
        <v>374841</v>
      </c>
      <c r="E1969" s="919">
        <f>SUM(E1876:E1968)</f>
        <v>667500</v>
      </c>
      <c r="F1969" s="850">
        <f>SUM(F1876:F1900)</f>
        <v>0</v>
      </c>
      <c r="G1969" s="851">
        <f>SUM(G1876:G1900)</f>
        <v>0</v>
      </c>
      <c r="H1969" s="840">
        <f t="shared" si="60"/>
        <v>0</v>
      </c>
      <c r="I1969" s="840">
        <f t="shared" si="61"/>
        <v>2084682</v>
      </c>
    </row>
    <row r="1970" spans="1:9" ht="75">
      <c r="A1970" s="1081" t="s">
        <v>457</v>
      </c>
      <c r="B1970" s="887" t="s">
        <v>952</v>
      </c>
      <c r="C1970" s="907">
        <v>87900</v>
      </c>
      <c r="D1970" s="530">
        <v>87900</v>
      </c>
      <c r="E1970" s="907"/>
      <c r="F1970" s="854"/>
      <c r="G1970" s="854"/>
      <c r="H1970" s="840">
        <f t="shared" si="60"/>
        <v>0</v>
      </c>
      <c r="I1970" s="840">
        <f t="shared" si="61"/>
        <v>175800</v>
      </c>
    </row>
    <row r="1971" spans="1:9" ht="112.5" hidden="1">
      <c r="A1971" s="1081"/>
      <c r="B1971" s="475" t="s">
        <v>953</v>
      </c>
      <c r="C1971" s="916">
        <f>200000-200000</f>
        <v>0</v>
      </c>
      <c r="D1971" s="916"/>
      <c r="E1971" s="905">
        <f>200000-200000</f>
        <v>0</v>
      </c>
      <c r="F1971" s="854"/>
      <c r="G1971" s="854"/>
      <c r="H1971" s="840">
        <f t="shared" si="60"/>
        <v>0</v>
      </c>
      <c r="I1971" s="840">
        <f t="shared" si="61"/>
        <v>0</v>
      </c>
    </row>
    <row r="1972" spans="1:9" hidden="1">
      <c r="A1972" s="1081"/>
      <c r="B1972" s="475"/>
      <c r="C1972" s="908"/>
      <c r="D1972" s="908"/>
      <c r="E1972" s="905"/>
      <c r="F1972" s="854"/>
      <c r="G1972" s="854"/>
      <c r="H1972" s="840">
        <f t="shared" si="60"/>
        <v>0</v>
      </c>
      <c r="I1972" s="840">
        <f t="shared" si="61"/>
        <v>0</v>
      </c>
    </row>
    <row r="1973" spans="1:9" hidden="1">
      <c r="A1973" s="1081"/>
      <c r="B1973" s="475"/>
      <c r="C1973" s="908"/>
      <c r="D1973" s="908"/>
      <c r="E1973" s="905"/>
      <c r="F1973" s="854"/>
      <c r="G1973" s="854"/>
      <c r="H1973" s="840">
        <f t="shared" si="60"/>
        <v>0</v>
      </c>
      <c r="I1973" s="840">
        <f t="shared" si="61"/>
        <v>0</v>
      </c>
    </row>
    <row r="1974" spans="1:9" hidden="1">
      <c r="A1974" s="1081"/>
      <c r="B1974" s="475"/>
      <c r="C1974" s="916"/>
      <c r="D1974" s="916"/>
      <c r="E1974" s="905"/>
      <c r="F1974" s="854"/>
      <c r="G1974" s="854"/>
      <c r="H1974" s="840">
        <f t="shared" si="60"/>
        <v>0</v>
      </c>
      <c r="I1974" s="840">
        <f t="shared" si="61"/>
        <v>0</v>
      </c>
    </row>
    <row r="1975" spans="1:9" hidden="1">
      <c r="A1975" s="1081"/>
      <c r="B1975" s="475"/>
      <c r="C1975" s="905"/>
      <c r="D1975" s="916"/>
      <c r="E1975" s="905"/>
      <c r="F1975" s="854"/>
      <c r="G1975" s="854"/>
      <c r="H1975" s="840">
        <f t="shared" si="60"/>
        <v>0</v>
      </c>
      <c r="I1975" s="840">
        <f t="shared" si="61"/>
        <v>0</v>
      </c>
    </row>
    <row r="1976" spans="1:9" hidden="1">
      <c r="A1976" s="1081"/>
      <c r="B1976" s="475"/>
      <c r="C1976" s="905"/>
      <c r="D1976" s="905"/>
      <c r="E1976" s="905"/>
      <c r="F1976" s="854"/>
      <c r="G1976" s="854"/>
      <c r="H1976" s="840">
        <f t="shared" si="60"/>
        <v>0</v>
      </c>
      <c r="I1976" s="840">
        <f t="shared" si="61"/>
        <v>0</v>
      </c>
    </row>
    <row r="1977" spans="1:9" hidden="1">
      <c r="A1977" s="1081"/>
      <c r="B1977" s="475"/>
      <c r="C1977" s="905"/>
      <c r="D1977" s="905"/>
      <c r="E1977" s="905"/>
      <c r="F1977" s="854"/>
      <c r="G1977" s="854"/>
      <c r="H1977" s="840">
        <f t="shared" si="60"/>
        <v>0</v>
      </c>
      <c r="I1977" s="840">
        <f t="shared" si="61"/>
        <v>0</v>
      </c>
    </row>
    <row r="1978" spans="1:9" hidden="1">
      <c r="A1978" s="1081"/>
      <c r="B1978" s="475"/>
      <c r="C1978" s="905"/>
      <c r="D1978" s="905"/>
      <c r="E1978" s="905"/>
      <c r="F1978" s="854"/>
      <c r="G1978" s="854"/>
      <c r="H1978" s="840">
        <f t="shared" si="60"/>
        <v>0</v>
      </c>
      <c r="I1978" s="840">
        <f t="shared" si="61"/>
        <v>0</v>
      </c>
    </row>
    <row r="1979" spans="1:9" hidden="1">
      <c r="A1979" s="1081"/>
      <c r="B1979" s="475"/>
      <c r="C1979" s="905"/>
      <c r="D1979" s="905"/>
      <c r="E1979" s="905"/>
      <c r="F1979" s="854"/>
      <c r="G1979" s="854"/>
      <c r="H1979" s="840">
        <f t="shared" si="60"/>
        <v>0</v>
      </c>
      <c r="I1979" s="840">
        <f t="shared" si="61"/>
        <v>0</v>
      </c>
    </row>
    <row r="1980" spans="1:9" hidden="1">
      <c r="A1980" s="1081"/>
      <c r="B1980" s="475"/>
      <c r="C1980" s="905"/>
      <c r="D1980" s="905"/>
      <c r="E1980" s="905"/>
      <c r="F1980" s="854"/>
      <c r="G1980" s="854"/>
      <c r="H1980" s="840">
        <f t="shared" si="60"/>
        <v>0</v>
      </c>
      <c r="I1980" s="840">
        <f t="shared" si="61"/>
        <v>0</v>
      </c>
    </row>
    <row r="1981" spans="1:9" hidden="1">
      <c r="A1981" s="1081"/>
      <c r="B1981" s="475"/>
      <c r="C1981" s="905"/>
      <c r="D1981" s="905"/>
      <c r="E1981" s="905"/>
      <c r="F1981" s="854"/>
      <c r="G1981" s="854"/>
      <c r="H1981" s="840">
        <f t="shared" si="60"/>
        <v>0</v>
      </c>
      <c r="I1981" s="840">
        <f t="shared" si="61"/>
        <v>0</v>
      </c>
    </row>
    <row r="1982" spans="1:9" hidden="1">
      <c r="A1982" s="1081"/>
      <c r="B1982" s="475"/>
      <c r="C1982" s="905"/>
      <c r="D1982" s="905"/>
      <c r="E1982" s="905"/>
      <c r="F1982" s="854"/>
      <c r="G1982" s="854"/>
      <c r="H1982" s="840">
        <f t="shared" si="60"/>
        <v>0</v>
      </c>
      <c r="I1982" s="840">
        <f t="shared" si="61"/>
        <v>0</v>
      </c>
    </row>
    <row r="1983" spans="1:9" hidden="1">
      <c r="A1983" s="1081"/>
      <c r="B1983" s="475"/>
      <c r="C1983" s="905"/>
      <c r="D1983" s="905"/>
      <c r="E1983" s="905"/>
      <c r="F1983" s="854"/>
      <c r="G1983" s="854"/>
      <c r="H1983" s="840">
        <f t="shared" si="60"/>
        <v>0</v>
      </c>
      <c r="I1983" s="840">
        <f t="shared" si="61"/>
        <v>0</v>
      </c>
    </row>
    <row r="1984" spans="1:9" hidden="1">
      <c r="A1984" s="1081"/>
      <c r="B1984" s="475"/>
      <c r="C1984" s="916"/>
      <c r="D1984" s="916"/>
      <c r="E1984" s="905"/>
      <c r="F1984" s="854"/>
      <c r="G1984" s="854"/>
      <c r="H1984" s="840">
        <f t="shared" si="60"/>
        <v>0</v>
      </c>
      <c r="I1984" s="840">
        <f t="shared" si="61"/>
        <v>0</v>
      </c>
    </row>
    <row r="1985" spans="1:9" hidden="1">
      <c r="A1985" s="1081"/>
      <c r="B1985" s="475"/>
      <c r="C1985" s="916"/>
      <c r="D1985" s="916"/>
      <c r="E1985" s="905"/>
      <c r="F1985" s="854"/>
      <c r="G1985" s="854"/>
      <c r="H1985" s="840">
        <f t="shared" si="60"/>
        <v>0</v>
      </c>
      <c r="I1985" s="840">
        <f t="shared" si="61"/>
        <v>0</v>
      </c>
    </row>
    <row r="1986" spans="1:9" hidden="1">
      <c r="A1986" s="1081"/>
      <c r="B1986" s="475"/>
      <c r="C1986" s="916"/>
      <c r="D1986" s="916"/>
      <c r="E1986" s="905"/>
      <c r="F1986" s="854"/>
      <c r="G1986" s="854"/>
      <c r="H1986" s="840">
        <f t="shared" si="60"/>
        <v>0</v>
      </c>
      <c r="I1986" s="840">
        <f t="shared" si="61"/>
        <v>0</v>
      </c>
    </row>
    <row r="1987" spans="1:9" s="302" customFormat="1" hidden="1">
      <c r="A1987" s="1068"/>
      <c r="B1987" s="475"/>
      <c r="C1987" s="916"/>
      <c r="D1987" s="916"/>
      <c r="E1987" s="905"/>
      <c r="F1987" s="854"/>
      <c r="G1987" s="854"/>
      <c r="H1987" s="840">
        <f t="shared" si="60"/>
        <v>0</v>
      </c>
      <c r="I1987" s="840">
        <f t="shared" si="61"/>
        <v>0</v>
      </c>
    </row>
    <row r="1988" spans="1:9" s="302" customFormat="1" hidden="1">
      <c r="A1988" s="1068"/>
      <c r="B1988" s="475"/>
      <c r="C1988" s="905"/>
      <c r="D1988" s="905"/>
      <c r="E1988" s="905"/>
      <c r="F1988" s="854"/>
      <c r="G1988" s="854"/>
      <c r="H1988" s="840">
        <f t="shared" si="60"/>
        <v>0</v>
      </c>
      <c r="I1988" s="840">
        <f t="shared" si="61"/>
        <v>0</v>
      </c>
    </row>
    <row r="1989" spans="1:9" s="302" customFormat="1" hidden="1">
      <c r="A1989" s="1068"/>
      <c r="B1989" s="475"/>
      <c r="C1989" s="905"/>
      <c r="D1989" s="905"/>
      <c r="E1989" s="905"/>
      <c r="F1989" s="854"/>
      <c r="G1989" s="854"/>
      <c r="H1989" s="840">
        <f t="shared" si="60"/>
        <v>0</v>
      </c>
      <c r="I1989" s="840">
        <f t="shared" si="61"/>
        <v>0</v>
      </c>
    </row>
    <row r="1990" spans="1:9" s="302" customFormat="1" hidden="1">
      <c r="A1990" s="1068"/>
      <c r="B1990" s="475"/>
      <c r="C1990" s="905"/>
      <c r="D1990" s="905"/>
      <c r="E1990" s="905"/>
      <c r="F1990" s="854"/>
      <c r="G1990" s="854"/>
      <c r="H1990" s="840">
        <f t="shared" si="60"/>
        <v>0</v>
      </c>
      <c r="I1990" s="840">
        <f t="shared" si="61"/>
        <v>0</v>
      </c>
    </row>
    <row r="1991" spans="1:9" s="302" customFormat="1" hidden="1">
      <c r="A1991" s="1068"/>
      <c r="B1991" s="475"/>
      <c r="C1991" s="905"/>
      <c r="D1991" s="905"/>
      <c r="E1991" s="905"/>
      <c r="F1991" s="854"/>
      <c r="G1991" s="854"/>
      <c r="H1991" s="840">
        <f t="shared" si="60"/>
        <v>0</v>
      </c>
      <c r="I1991" s="840">
        <f t="shared" si="61"/>
        <v>0</v>
      </c>
    </row>
    <row r="1992" spans="1:9" s="302" customFormat="1" hidden="1">
      <c r="A1992" s="1068"/>
      <c r="B1992" s="475"/>
      <c r="C1992" s="916"/>
      <c r="D1992" s="916"/>
      <c r="E1992" s="905"/>
      <c r="F1992" s="854"/>
      <c r="G1992" s="854"/>
      <c r="H1992" s="840">
        <f t="shared" si="60"/>
        <v>0</v>
      </c>
      <c r="I1992" s="840">
        <f t="shared" si="61"/>
        <v>0</v>
      </c>
    </row>
    <row r="1993" spans="1:9" s="302" customFormat="1" hidden="1">
      <c r="A1993" s="1068"/>
      <c r="B1993" s="475"/>
      <c r="C1993" s="916"/>
      <c r="D1993" s="916"/>
      <c r="E1993" s="905"/>
      <c r="F1993" s="854"/>
      <c r="G1993" s="854"/>
      <c r="H1993" s="840">
        <f t="shared" ref="H1993:H2056" si="62">E1993+D1993-C1993</f>
        <v>0</v>
      </c>
      <c r="I1993" s="840">
        <f t="shared" ref="I1993:I2056" si="63">SUM(C1993:E1993)</f>
        <v>0</v>
      </c>
    </row>
    <row r="1994" spans="1:9" s="302" customFormat="1" hidden="1">
      <c r="A1994" s="1068"/>
      <c r="B1994" s="475"/>
      <c r="C1994" s="916"/>
      <c r="D1994" s="916"/>
      <c r="E1994" s="905"/>
      <c r="F1994" s="854"/>
      <c r="G1994" s="854"/>
      <c r="H1994" s="840">
        <f t="shared" si="62"/>
        <v>0</v>
      </c>
      <c r="I1994" s="840">
        <f t="shared" si="63"/>
        <v>0</v>
      </c>
    </row>
    <row r="1995" spans="1:9" s="302" customFormat="1" hidden="1">
      <c r="A1995" s="1068"/>
      <c r="B1995" s="475"/>
      <c r="C1995" s="916"/>
      <c r="D1995" s="916"/>
      <c r="E1995" s="905"/>
      <c r="F1995" s="854"/>
      <c r="G1995" s="854"/>
      <c r="H1995" s="840">
        <f t="shared" si="62"/>
        <v>0</v>
      </c>
      <c r="I1995" s="840">
        <f t="shared" si="63"/>
        <v>0</v>
      </c>
    </row>
    <row r="1996" spans="1:9" s="302" customFormat="1" hidden="1">
      <c r="A1996" s="1068"/>
      <c r="B1996" s="475"/>
      <c r="C1996" s="916"/>
      <c r="D1996" s="916"/>
      <c r="E1996" s="905"/>
      <c r="F1996" s="854"/>
      <c r="G1996" s="854"/>
      <c r="H1996" s="840">
        <f t="shared" si="62"/>
        <v>0</v>
      </c>
      <c r="I1996" s="840">
        <f t="shared" si="63"/>
        <v>0</v>
      </c>
    </row>
    <row r="1997" spans="1:9" s="302" customFormat="1" hidden="1">
      <c r="A1997" s="1068"/>
      <c r="B1997" s="475"/>
      <c r="C1997" s="916"/>
      <c r="D1997" s="916"/>
      <c r="E1997" s="905"/>
      <c r="F1997" s="854"/>
      <c r="G1997" s="854"/>
      <c r="H1997" s="840">
        <f t="shared" si="62"/>
        <v>0</v>
      </c>
      <c r="I1997" s="840">
        <f t="shared" si="63"/>
        <v>0</v>
      </c>
    </row>
    <row r="1998" spans="1:9" s="302" customFormat="1" hidden="1">
      <c r="A1998" s="1068"/>
      <c r="B1998" s="475"/>
      <c r="C1998" s="916"/>
      <c r="D1998" s="916"/>
      <c r="E1998" s="905"/>
      <c r="F1998" s="854"/>
      <c r="G1998" s="854"/>
      <c r="H1998" s="840">
        <f t="shared" si="62"/>
        <v>0</v>
      </c>
      <c r="I1998" s="840">
        <f t="shared" si="63"/>
        <v>0</v>
      </c>
    </row>
    <row r="1999" spans="1:9" s="302" customFormat="1" hidden="1">
      <c r="A1999" s="1068"/>
      <c r="B1999" s="475"/>
      <c r="C1999" s="916"/>
      <c r="D1999" s="916"/>
      <c r="E1999" s="905"/>
      <c r="F1999" s="854"/>
      <c r="G1999" s="854"/>
      <c r="H1999" s="840">
        <f t="shared" si="62"/>
        <v>0</v>
      </c>
      <c r="I1999" s="840">
        <f t="shared" si="63"/>
        <v>0</v>
      </c>
    </row>
    <row r="2000" spans="1:9" s="302" customFormat="1" hidden="1">
      <c r="A2000" s="1068"/>
      <c r="B2000" s="475"/>
      <c r="C2000" s="916"/>
      <c r="D2000" s="916"/>
      <c r="E2000" s="905"/>
      <c r="F2000" s="854"/>
      <c r="G2000" s="854"/>
      <c r="H2000" s="840">
        <f t="shared" si="62"/>
        <v>0</v>
      </c>
      <c r="I2000" s="840">
        <f t="shared" si="63"/>
        <v>0</v>
      </c>
    </row>
    <row r="2001" spans="1:9" s="302" customFormat="1" hidden="1">
      <c r="A2001" s="1068"/>
      <c r="B2001" s="475"/>
      <c r="C2001" s="916"/>
      <c r="D2001" s="916"/>
      <c r="E2001" s="905"/>
      <c r="F2001" s="854"/>
      <c r="G2001" s="854"/>
      <c r="H2001" s="840">
        <f t="shared" si="62"/>
        <v>0</v>
      </c>
      <c r="I2001" s="840">
        <f t="shared" si="63"/>
        <v>0</v>
      </c>
    </row>
    <row r="2002" spans="1:9" s="302" customFormat="1" hidden="1">
      <c r="A2002" s="1068"/>
      <c r="B2002" s="475"/>
      <c r="C2002" s="916"/>
      <c r="D2002" s="916"/>
      <c r="E2002" s="905"/>
      <c r="F2002" s="854"/>
      <c r="G2002" s="854"/>
      <c r="H2002" s="840">
        <f t="shared" si="62"/>
        <v>0</v>
      </c>
      <c r="I2002" s="840">
        <f t="shared" si="63"/>
        <v>0</v>
      </c>
    </row>
    <row r="2003" spans="1:9" s="302" customFormat="1" hidden="1">
      <c r="A2003" s="1068"/>
      <c r="B2003" s="475"/>
      <c r="C2003" s="916"/>
      <c r="D2003" s="916"/>
      <c r="E2003" s="905"/>
      <c r="F2003" s="854"/>
      <c r="G2003" s="854"/>
      <c r="H2003" s="840">
        <f t="shared" si="62"/>
        <v>0</v>
      </c>
      <c r="I2003" s="840">
        <f t="shared" si="63"/>
        <v>0</v>
      </c>
    </row>
    <row r="2004" spans="1:9" s="302" customFormat="1" hidden="1">
      <c r="A2004" s="1068"/>
      <c r="B2004" s="475"/>
      <c r="C2004" s="916"/>
      <c r="D2004" s="916"/>
      <c r="E2004" s="905"/>
      <c r="F2004" s="854"/>
      <c r="G2004" s="854"/>
      <c r="H2004" s="840">
        <f t="shared" si="62"/>
        <v>0</v>
      </c>
      <c r="I2004" s="840">
        <f t="shared" si="63"/>
        <v>0</v>
      </c>
    </row>
    <row r="2005" spans="1:9" s="302" customFormat="1" hidden="1">
      <c r="A2005" s="1071"/>
      <c r="B2005" s="475"/>
      <c r="C2005" s="916"/>
      <c r="D2005" s="916"/>
      <c r="E2005" s="905"/>
      <c r="F2005" s="854"/>
      <c r="G2005" s="854"/>
      <c r="H2005" s="840">
        <f t="shared" si="62"/>
        <v>0</v>
      </c>
      <c r="I2005" s="840">
        <f t="shared" si="63"/>
        <v>0</v>
      </c>
    </row>
    <row r="2006" spans="1:9" s="302" customFormat="1" hidden="1">
      <c r="A2006" s="1071"/>
      <c r="B2006" s="475"/>
      <c r="C2006" s="916"/>
      <c r="D2006" s="916"/>
      <c r="E2006" s="905"/>
      <c r="F2006" s="854"/>
      <c r="G2006" s="854"/>
      <c r="H2006" s="840">
        <f t="shared" si="62"/>
        <v>0</v>
      </c>
      <c r="I2006" s="840">
        <f t="shared" si="63"/>
        <v>0</v>
      </c>
    </row>
    <row r="2007" spans="1:9" s="302" customFormat="1" hidden="1">
      <c r="A2007" s="1071"/>
      <c r="B2007" s="475"/>
      <c r="C2007" s="916"/>
      <c r="D2007" s="916"/>
      <c r="E2007" s="905"/>
      <c r="F2007" s="854"/>
      <c r="G2007" s="854"/>
      <c r="H2007" s="840">
        <f t="shared" si="62"/>
        <v>0</v>
      </c>
      <c r="I2007" s="840">
        <f t="shared" si="63"/>
        <v>0</v>
      </c>
    </row>
    <row r="2008" spans="1:9" s="302" customFormat="1" hidden="1">
      <c r="A2008" s="1071"/>
      <c r="B2008" s="475"/>
      <c r="C2008" s="916"/>
      <c r="D2008" s="916"/>
      <c r="E2008" s="905"/>
      <c r="F2008" s="854"/>
      <c r="G2008" s="854"/>
      <c r="H2008" s="840">
        <f t="shared" si="62"/>
        <v>0</v>
      </c>
      <c r="I2008" s="840">
        <f t="shared" si="63"/>
        <v>0</v>
      </c>
    </row>
    <row r="2009" spans="1:9" s="302" customFormat="1" hidden="1">
      <c r="A2009" s="1071"/>
      <c r="B2009" s="475"/>
      <c r="C2009" s="916"/>
      <c r="D2009" s="916"/>
      <c r="E2009" s="905"/>
      <c r="F2009" s="854"/>
      <c r="G2009" s="854"/>
      <c r="H2009" s="840">
        <f t="shared" si="62"/>
        <v>0</v>
      </c>
      <c r="I2009" s="840">
        <f t="shared" si="63"/>
        <v>0</v>
      </c>
    </row>
    <row r="2010" spans="1:9" s="302" customFormat="1" hidden="1">
      <c r="A2010" s="1071"/>
      <c r="B2010" s="475"/>
      <c r="C2010" s="916"/>
      <c r="D2010" s="916"/>
      <c r="E2010" s="905"/>
      <c r="F2010" s="854"/>
      <c r="G2010" s="854"/>
      <c r="H2010" s="840">
        <f t="shared" si="62"/>
        <v>0</v>
      </c>
      <c r="I2010" s="840">
        <f t="shared" si="63"/>
        <v>0</v>
      </c>
    </row>
    <row r="2011" spans="1:9" s="302" customFormat="1" hidden="1">
      <c r="A2011" s="1071"/>
      <c r="B2011" s="475"/>
      <c r="C2011" s="916"/>
      <c r="D2011" s="916"/>
      <c r="E2011" s="905"/>
      <c r="F2011" s="854"/>
      <c r="G2011" s="854"/>
      <c r="H2011" s="840">
        <f t="shared" si="62"/>
        <v>0</v>
      </c>
      <c r="I2011" s="840">
        <f t="shared" si="63"/>
        <v>0</v>
      </c>
    </row>
    <row r="2012" spans="1:9" s="302" customFormat="1" hidden="1">
      <c r="A2012" s="1071"/>
      <c r="B2012" s="475"/>
      <c r="C2012" s="916"/>
      <c r="D2012" s="916"/>
      <c r="E2012" s="905"/>
      <c r="F2012" s="854"/>
      <c r="G2012" s="854"/>
      <c r="H2012" s="840">
        <f t="shared" si="62"/>
        <v>0</v>
      </c>
      <c r="I2012" s="840">
        <f t="shared" si="63"/>
        <v>0</v>
      </c>
    </row>
    <row r="2013" spans="1:9" s="302" customFormat="1" hidden="1">
      <c r="A2013" s="1071"/>
      <c r="B2013" s="475"/>
      <c r="C2013" s="916"/>
      <c r="D2013" s="916"/>
      <c r="E2013" s="905"/>
      <c r="F2013" s="854"/>
      <c r="G2013" s="854"/>
      <c r="H2013" s="840">
        <f t="shared" si="62"/>
        <v>0</v>
      </c>
      <c r="I2013" s="840">
        <f t="shared" si="63"/>
        <v>0</v>
      </c>
    </row>
    <row r="2014" spans="1:9" s="302" customFormat="1" hidden="1">
      <c r="A2014" s="1071"/>
      <c r="B2014" s="475"/>
      <c r="C2014" s="916"/>
      <c r="D2014" s="916"/>
      <c r="E2014" s="905"/>
      <c r="F2014" s="854"/>
      <c r="G2014" s="854"/>
      <c r="H2014" s="840">
        <f t="shared" si="62"/>
        <v>0</v>
      </c>
      <c r="I2014" s="840">
        <f t="shared" si="63"/>
        <v>0</v>
      </c>
    </row>
    <row r="2015" spans="1:9" s="302" customFormat="1" hidden="1">
      <c r="A2015" s="1071"/>
      <c r="B2015" s="475"/>
      <c r="C2015" s="916"/>
      <c r="D2015" s="916"/>
      <c r="E2015" s="905"/>
      <c r="F2015" s="854"/>
      <c r="G2015" s="854"/>
      <c r="H2015" s="840">
        <f t="shared" si="62"/>
        <v>0</v>
      </c>
      <c r="I2015" s="840">
        <f t="shared" si="63"/>
        <v>0</v>
      </c>
    </row>
    <row r="2016" spans="1:9" s="302" customFormat="1" hidden="1">
      <c r="A2016" s="1071"/>
      <c r="B2016" s="475"/>
      <c r="C2016" s="916"/>
      <c r="D2016" s="916"/>
      <c r="E2016" s="905"/>
      <c r="F2016" s="854"/>
      <c r="G2016" s="854"/>
      <c r="H2016" s="840">
        <f t="shared" si="62"/>
        <v>0</v>
      </c>
      <c r="I2016" s="840">
        <f t="shared" si="63"/>
        <v>0</v>
      </c>
    </row>
    <row r="2017" spans="1:9" s="302" customFormat="1" hidden="1">
      <c r="A2017" s="1071"/>
      <c r="B2017" s="475"/>
      <c r="C2017" s="916"/>
      <c r="D2017" s="916"/>
      <c r="E2017" s="905"/>
      <c r="F2017" s="854"/>
      <c r="G2017" s="854"/>
      <c r="H2017" s="840">
        <f t="shared" si="62"/>
        <v>0</v>
      </c>
      <c r="I2017" s="840">
        <f t="shared" si="63"/>
        <v>0</v>
      </c>
    </row>
    <row r="2018" spans="1:9" s="302" customFormat="1" hidden="1">
      <c r="A2018" s="1071"/>
      <c r="B2018" s="475"/>
      <c r="C2018" s="916"/>
      <c r="D2018" s="916"/>
      <c r="E2018" s="905"/>
      <c r="F2018" s="854"/>
      <c r="G2018" s="854"/>
      <c r="H2018" s="840">
        <f t="shared" si="62"/>
        <v>0</v>
      </c>
      <c r="I2018" s="840">
        <f t="shared" si="63"/>
        <v>0</v>
      </c>
    </row>
    <row r="2019" spans="1:9" s="302" customFormat="1" hidden="1">
      <c r="A2019" s="1071"/>
      <c r="B2019" s="475"/>
      <c r="C2019" s="916"/>
      <c r="D2019" s="916"/>
      <c r="E2019" s="905"/>
      <c r="F2019" s="854"/>
      <c r="G2019" s="854"/>
      <c r="H2019" s="840">
        <f t="shared" si="62"/>
        <v>0</v>
      </c>
      <c r="I2019" s="840">
        <f t="shared" si="63"/>
        <v>0</v>
      </c>
    </row>
    <row r="2020" spans="1:9" s="302" customFormat="1" hidden="1">
      <c r="A2020" s="1071"/>
      <c r="B2020" s="475"/>
      <c r="C2020" s="916"/>
      <c r="D2020" s="916"/>
      <c r="E2020" s="905"/>
      <c r="F2020" s="854"/>
      <c r="G2020" s="854"/>
      <c r="H2020" s="840">
        <f t="shared" si="62"/>
        <v>0</v>
      </c>
      <c r="I2020" s="840">
        <f t="shared" si="63"/>
        <v>0</v>
      </c>
    </row>
    <row r="2021" spans="1:9" s="302" customFormat="1" hidden="1">
      <c r="A2021" s="1071"/>
      <c r="B2021" s="475"/>
      <c r="C2021" s="916"/>
      <c r="D2021" s="916"/>
      <c r="E2021" s="905"/>
      <c r="F2021" s="854"/>
      <c r="G2021" s="854"/>
      <c r="H2021" s="840">
        <f t="shared" si="62"/>
        <v>0</v>
      </c>
      <c r="I2021" s="840">
        <f t="shared" si="63"/>
        <v>0</v>
      </c>
    </row>
    <row r="2022" spans="1:9" s="302" customFormat="1" hidden="1">
      <c r="A2022" s="1071"/>
      <c r="B2022" s="475"/>
      <c r="C2022" s="916"/>
      <c r="D2022" s="916"/>
      <c r="E2022" s="905"/>
      <c r="F2022" s="854"/>
      <c r="G2022" s="854"/>
      <c r="H2022" s="840">
        <f t="shared" si="62"/>
        <v>0</v>
      </c>
      <c r="I2022" s="840">
        <f t="shared" si="63"/>
        <v>0</v>
      </c>
    </row>
    <row r="2023" spans="1:9" s="302" customFormat="1" hidden="1">
      <c r="A2023" s="1071"/>
      <c r="B2023" s="535"/>
      <c r="C2023" s="473"/>
      <c r="D2023" s="473"/>
      <c r="E2023" s="914"/>
      <c r="F2023" s="854"/>
      <c r="G2023" s="854"/>
      <c r="H2023" s="840">
        <f t="shared" si="62"/>
        <v>0</v>
      </c>
      <c r="I2023" s="840">
        <f t="shared" si="63"/>
        <v>0</v>
      </c>
    </row>
    <row r="2024" spans="1:9" s="302" customFormat="1" hidden="1">
      <c r="A2024" s="1071"/>
      <c r="B2024" s="475"/>
      <c r="C2024" s="916"/>
      <c r="D2024" s="916"/>
      <c r="E2024" s="905"/>
      <c r="F2024" s="854"/>
      <c r="G2024" s="854"/>
      <c r="H2024" s="840">
        <f t="shared" si="62"/>
        <v>0</v>
      </c>
      <c r="I2024" s="840">
        <f t="shared" si="63"/>
        <v>0</v>
      </c>
    </row>
    <row r="2025" spans="1:9" s="302" customFormat="1" hidden="1">
      <c r="A2025" s="1071"/>
      <c r="B2025" s="475"/>
      <c r="C2025" s="916"/>
      <c r="D2025" s="916"/>
      <c r="E2025" s="905"/>
      <c r="F2025" s="854"/>
      <c r="G2025" s="854"/>
      <c r="H2025" s="840">
        <f t="shared" si="62"/>
        <v>0</v>
      </c>
      <c r="I2025" s="840">
        <f t="shared" si="63"/>
        <v>0</v>
      </c>
    </row>
    <row r="2026" spans="1:9" s="302" customFormat="1" hidden="1">
      <c r="A2026" s="1071"/>
      <c r="B2026" s="475"/>
      <c r="C2026" s="916"/>
      <c r="D2026" s="916"/>
      <c r="E2026" s="905"/>
      <c r="F2026" s="854"/>
      <c r="G2026" s="854"/>
      <c r="H2026" s="840">
        <f t="shared" si="62"/>
        <v>0</v>
      </c>
      <c r="I2026" s="840">
        <f t="shared" si="63"/>
        <v>0</v>
      </c>
    </row>
    <row r="2027" spans="1:9" s="302" customFormat="1" hidden="1">
      <c r="A2027" s="1071"/>
      <c r="B2027" s="475"/>
      <c r="C2027" s="916"/>
      <c r="D2027" s="916"/>
      <c r="E2027" s="905"/>
      <c r="F2027" s="854"/>
      <c r="G2027" s="854"/>
      <c r="H2027" s="840">
        <f t="shared" si="62"/>
        <v>0</v>
      </c>
      <c r="I2027" s="840">
        <f t="shared" si="63"/>
        <v>0</v>
      </c>
    </row>
    <row r="2028" spans="1:9" s="302" customFormat="1" hidden="1">
      <c r="A2028" s="1071"/>
      <c r="B2028" s="475"/>
      <c r="C2028" s="916"/>
      <c r="D2028" s="916"/>
      <c r="E2028" s="905"/>
      <c r="F2028" s="854"/>
      <c r="G2028" s="854"/>
      <c r="H2028" s="840">
        <f t="shared" si="62"/>
        <v>0</v>
      </c>
      <c r="I2028" s="840">
        <f t="shared" si="63"/>
        <v>0</v>
      </c>
    </row>
    <row r="2029" spans="1:9" s="302" customFormat="1" hidden="1">
      <c r="A2029" s="1071"/>
      <c r="B2029" s="475"/>
      <c r="C2029" s="916"/>
      <c r="D2029" s="916"/>
      <c r="E2029" s="905"/>
      <c r="F2029" s="854"/>
      <c r="G2029" s="854"/>
      <c r="H2029" s="840">
        <f t="shared" si="62"/>
        <v>0</v>
      </c>
      <c r="I2029" s="840">
        <f t="shared" si="63"/>
        <v>0</v>
      </c>
    </row>
    <row r="2030" spans="1:9" s="302" customFormat="1" hidden="1">
      <c r="A2030" s="1071"/>
      <c r="B2030" s="475"/>
      <c r="C2030" s="916"/>
      <c r="D2030" s="916"/>
      <c r="E2030" s="905"/>
      <c r="F2030" s="854"/>
      <c r="G2030" s="854"/>
      <c r="H2030" s="840">
        <f t="shared" si="62"/>
        <v>0</v>
      </c>
      <c r="I2030" s="840">
        <f t="shared" si="63"/>
        <v>0</v>
      </c>
    </row>
    <row r="2031" spans="1:9" s="302" customFormat="1" hidden="1">
      <c r="A2031" s="1071"/>
      <c r="B2031" s="475"/>
      <c r="C2031" s="916"/>
      <c r="D2031" s="916"/>
      <c r="E2031" s="905"/>
      <c r="F2031" s="854"/>
      <c r="G2031" s="854"/>
      <c r="H2031" s="840">
        <f t="shared" si="62"/>
        <v>0</v>
      </c>
      <c r="I2031" s="840">
        <f t="shared" si="63"/>
        <v>0</v>
      </c>
    </row>
    <row r="2032" spans="1:9" s="302" customFormat="1" hidden="1">
      <c r="A2032" s="1071"/>
      <c r="B2032" s="475"/>
      <c r="C2032" s="916"/>
      <c r="D2032" s="916"/>
      <c r="E2032" s="905"/>
      <c r="F2032" s="854"/>
      <c r="G2032" s="854"/>
      <c r="H2032" s="840">
        <f t="shared" si="62"/>
        <v>0</v>
      </c>
      <c r="I2032" s="840">
        <f t="shared" si="63"/>
        <v>0</v>
      </c>
    </row>
    <row r="2033" spans="1:9" s="302" customFormat="1" hidden="1">
      <c r="A2033" s="1071"/>
      <c r="B2033" s="475"/>
      <c r="C2033" s="916"/>
      <c r="D2033" s="916"/>
      <c r="E2033" s="905"/>
      <c r="F2033" s="854"/>
      <c r="G2033" s="854"/>
      <c r="H2033" s="840">
        <f t="shared" si="62"/>
        <v>0</v>
      </c>
      <c r="I2033" s="840">
        <f t="shared" si="63"/>
        <v>0</v>
      </c>
    </row>
    <row r="2034" spans="1:9" s="302" customFormat="1" hidden="1">
      <c r="A2034" s="1071"/>
      <c r="B2034" s="475"/>
      <c r="C2034" s="916"/>
      <c r="D2034" s="916"/>
      <c r="E2034" s="905"/>
      <c r="F2034" s="854"/>
      <c r="G2034" s="854"/>
      <c r="H2034" s="840">
        <f t="shared" si="62"/>
        <v>0</v>
      </c>
      <c r="I2034" s="840">
        <f t="shared" si="63"/>
        <v>0</v>
      </c>
    </row>
    <row r="2035" spans="1:9" s="302" customFormat="1" hidden="1">
      <c r="A2035" s="1071"/>
      <c r="B2035" s="475"/>
      <c r="C2035" s="905"/>
      <c r="D2035" s="931"/>
      <c r="E2035" s="931"/>
      <c r="F2035" s="854"/>
      <c r="G2035" s="854"/>
      <c r="H2035" s="840">
        <f t="shared" si="62"/>
        <v>0</v>
      </c>
      <c r="I2035" s="840">
        <f t="shared" si="63"/>
        <v>0</v>
      </c>
    </row>
    <row r="2036" spans="1:9" s="302" customFormat="1" hidden="1">
      <c r="A2036" s="1071"/>
      <c r="B2036" s="475"/>
      <c r="C2036" s="916"/>
      <c r="D2036" s="916"/>
      <c r="E2036" s="905"/>
      <c r="F2036" s="854"/>
      <c r="G2036" s="854"/>
      <c r="H2036" s="840">
        <f t="shared" si="62"/>
        <v>0</v>
      </c>
      <c r="I2036" s="840">
        <f t="shared" si="63"/>
        <v>0</v>
      </c>
    </row>
    <row r="2037" spans="1:9" s="302" customFormat="1" hidden="1">
      <c r="A2037" s="1071"/>
      <c r="B2037" s="475"/>
      <c r="C2037" s="916"/>
      <c r="D2037" s="916"/>
      <c r="E2037" s="905"/>
      <c r="F2037" s="854"/>
      <c r="G2037" s="854"/>
      <c r="H2037" s="840">
        <f t="shared" si="62"/>
        <v>0</v>
      </c>
      <c r="I2037" s="840">
        <f t="shared" si="63"/>
        <v>0</v>
      </c>
    </row>
    <row r="2038" spans="1:9" s="302" customFormat="1" hidden="1">
      <c r="A2038" s="1071"/>
      <c r="B2038" s="475"/>
      <c r="C2038" s="916"/>
      <c r="D2038" s="916"/>
      <c r="E2038" s="905"/>
      <c r="F2038" s="854"/>
      <c r="G2038" s="854"/>
      <c r="H2038" s="840">
        <f t="shared" si="62"/>
        <v>0</v>
      </c>
      <c r="I2038" s="840">
        <f t="shared" si="63"/>
        <v>0</v>
      </c>
    </row>
    <row r="2039" spans="1:9" s="302" customFormat="1" hidden="1">
      <c r="A2039" s="1071"/>
      <c r="B2039" s="475"/>
      <c r="C2039" s="916"/>
      <c r="D2039" s="916"/>
      <c r="E2039" s="905"/>
      <c r="F2039" s="854"/>
      <c r="G2039" s="854"/>
      <c r="H2039" s="840">
        <f t="shared" si="62"/>
        <v>0</v>
      </c>
      <c r="I2039" s="840">
        <f t="shared" si="63"/>
        <v>0</v>
      </c>
    </row>
    <row r="2040" spans="1:9" s="302" customFormat="1" hidden="1">
      <c r="A2040" s="1071"/>
      <c r="B2040" s="475"/>
      <c r="C2040" s="916"/>
      <c r="D2040" s="916"/>
      <c r="E2040" s="905"/>
      <c r="F2040" s="854"/>
      <c r="G2040" s="854"/>
      <c r="H2040" s="840">
        <f t="shared" si="62"/>
        <v>0</v>
      </c>
      <c r="I2040" s="840">
        <f t="shared" si="63"/>
        <v>0</v>
      </c>
    </row>
    <row r="2041" spans="1:9" s="302" customFormat="1" hidden="1">
      <c r="A2041" s="1071"/>
      <c r="B2041" s="475"/>
      <c r="C2041" s="916"/>
      <c r="D2041" s="916"/>
      <c r="E2041" s="905"/>
      <c r="F2041" s="854"/>
      <c r="G2041" s="854"/>
      <c r="H2041" s="840">
        <f t="shared" si="62"/>
        <v>0</v>
      </c>
      <c r="I2041" s="840">
        <f t="shared" si="63"/>
        <v>0</v>
      </c>
    </row>
    <row r="2042" spans="1:9" s="302" customFormat="1" hidden="1">
      <c r="A2042" s="1071"/>
      <c r="B2042" s="475"/>
      <c r="C2042" s="916"/>
      <c r="D2042" s="916"/>
      <c r="E2042" s="905"/>
      <c r="F2042" s="854"/>
      <c r="G2042" s="854"/>
      <c r="H2042" s="840">
        <f t="shared" si="62"/>
        <v>0</v>
      </c>
      <c r="I2042" s="840">
        <f t="shared" si="63"/>
        <v>0</v>
      </c>
    </row>
    <row r="2043" spans="1:9" s="302" customFormat="1" hidden="1">
      <c r="A2043" s="1071"/>
      <c r="B2043" s="475"/>
      <c r="C2043" s="916"/>
      <c r="D2043" s="916"/>
      <c r="E2043" s="905"/>
      <c r="F2043" s="854"/>
      <c r="G2043" s="854"/>
      <c r="H2043" s="840">
        <f t="shared" si="62"/>
        <v>0</v>
      </c>
      <c r="I2043" s="840">
        <f t="shared" si="63"/>
        <v>0</v>
      </c>
    </row>
    <row r="2044" spans="1:9" s="302" customFormat="1" hidden="1">
      <c r="A2044" s="1071"/>
      <c r="B2044" s="475"/>
      <c r="C2044" s="916"/>
      <c r="D2044" s="916"/>
      <c r="E2044" s="905"/>
      <c r="F2044" s="854"/>
      <c r="G2044" s="854"/>
      <c r="H2044" s="840">
        <f t="shared" si="62"/>
        <v>0</v>
      </c>
      <c r="I2044" s="840">
        <f t="shared" si="63"/>
        <v>0</v>
      </c>
    </row>
    <row r="2045" spans="1:9" s="302" customFormat="1" hidden="1">
      <c r="A2045" s="1071"/>
      <c r="B2045" s="475"/>
      <c r="C2045" s="916"/>
      <c r="D2045" s="916"/>
      <c r="E2045" s="905"/>
      <c r="F2045" s="854"/>
      <c r="G2045" s="854"/>
      <c r="H2045" s="840">
        <f t="shared" si="62"/>
        <v>0</v>
      </c>
      <c r="I2045" s="840">
        <f t="shared" si="63"/>
        <v>0</v>
      </c>
    </row>
    <row r="2046" spans="1:9">
      <c r="A2046" s="1081"/>
      <c r="B2046" s="461" t="s">
        <v>253</v>
      </c>
      <c r="C2046" s="919">
        <f>SUM(C1970:C2045)</f>
        <v>87900</v>
      </c>
      <c r="D2046" s="919">
        <f>SUM(D1970:D2045)</f>
        <v>87900</v>
      </c>
      <c r="E2046" s="919">
        <f>SUM(E1970:E2045)</f>
        <v>0</v>
      </c>
      <c r="F2046" s="848">
        <f>SUM(F1970:F1970)</f>
        <v>0</v>
      </c>
      <c r="G2046" s="849">
        <f>SUM(G1970:G1970)</f>
        <v>0</v>
      </c>
      <c r="H2046" s="840">
        <f t="shared" si="62"/>
        <v>0</v>
      </c>
      <c r="I2046" s="840">
        <f t="shared" si="63"/>
        <v>175800</v>
      </c>
    </row>
    <row r="2047" spans="1:9" ht="75">
      <c r="A2047" s="1081" t="s">
        <v>458</v>
      </c>
      <c r="B2047" s="887" t="s">
        <v>952</v>
      </c>
      <c r="C2047" s="530">
        <v>26400</v>
      </c>
      <c r="D2047" s="530">
        <v>26400</v>
      </c>
      <c r="E2047" s="905"/>
      <c r="F2047" s="854"/>
      <c r="G2047" s="854"/>
      <c r="H2047" s="840">
        <f t="shared" si="62"/>
        <v>0</v>
      </c>
      <c r="I2047" s="840">
        <f t="shared" si="63"/>
        <v>52800</v>
      </c>
    </row>
    <row r="2048" spans="1:9" ht="56.25">
      <c r="A2048" s="1081"/>
      <c r="B2048" s="535" t="s">
        <v>1088</v>
      </c>
      <c r="C2048" s="905">
        <v>50000</v>
      </c>
      <c r="D2048" s="905">
        <v>50000</v>
      </c>
      <c r="E2048" s="905"/>
      <c r="F2048" s="854"/>
      <c r="G2048" s="854"/>
      <c r="H2048" s="840">
        <f t="shared" si="62"/>
        <v>0</v>
      </c>
      <c r="I2048" s="840">
        <f t="shared" si="63"/>
        <v>100000</v>
      </c>
    </row>
    <row r="2049" spans="1:9" ht="75">
      <c r="A2049" s="1081"/>
      <c r="B2049" s="475" t="s">
        <v>1321</v>
      </c>
      <c r="C2049" s="530">
        <v>10000</v>
      </c>
      <c r="D2049" s="530"/>
      <c r="E2049" s="905">
        <v>10000</v>
      </c>
      <c r="F2049" s="854"/>
      <c r="G2049" s="854"/>
      <c r="H2049" s="840">
        <f t="shared" si="62"/>
        <v>0</v>
      </c>
      <c r="I2049" s="840">
        <f t="shared" si="63"/>
        <v>20000</v>
      </c>
    </row>
    <row r="2050" spans="1:9" ht="56.25">
      <c r="A2050" s="1081"/>
      <c r="B2050" s="475" t="s">
        <v>1322</v>
      </c>
      <c r="C2050" s="530">
        <v>82278</v>
      </c>
      <c r="D2050" s="530">
        <v>82278</v>
      </c>
      <c r="E2050" s="905"/>
      <c r="F2050" s="841"/>
      <c r="G2050" s="841"/>
      <c r="H2050" s="840">
        <f t="shared" si="62"/>
        <v>0</v>
      </c>
      <c r="I2050" s="840">
        <f t="shared" si="63"/>
        <v>164556</v>
      </c>
    </row>
    <row r="2051" spans="1:9" ht="56.25">
      <c r="A2051" s="1081"/>
      <c r="B2051" s="475" t="s">
        <v>1323</v>
      </c>
      <c r="C2051" s="530">
        <v>31500</v>
      </c>
      <c r="D2051" s="530">
        <v>31500</v>
      </c>
      <c r="E2051" s="905"/>
      <c r="F2051" s="841"/>
      <c r="G2051" s="841"/>
      <c r="H2051" s="840">
        <f t="shared" si="62"/>
        <v>0</v>
      </c>
      <c r="I2051" s="840">
        <f t="shared" si="63"/>
        <v>63000</v>
      </c>
    </row>
    <row r="2052" spans="1:9" ht="56.25">
      <c r="A2052" s="1081"/>
      <c r="B2052" s="475" t="s">
        <v>1324</v>
      </c>
      <c r="C2052" s="530">
        <v>30000</v>
      </c>
      <c r="D2052" s="530">
        <v>30000</v>
      </c>
      <c r="E2052" s="905"/>
      <c r="F2052" s="841"/>
      <c r="G2052" s="841"/>
      <c r="H2052" s="840">
        <f t="shared" si="62"/>
        <v>0</v>
      </c>
      <c r="I2052" s="840">
        <f t="shared" si="63"/>
        <v>60000</v>
      </c>
    </row>
    <row r="2053" spans="1:9" ht="37.5">
      <c r="A2053" s="1081"/>
      <c r="B2053" s="475" t="s">
        <v>1325</v>
      </c>
      <c r="C2053" s="530">
        <v>102500</v>
      </c>
      <c r="D2053" s="530"/>
      <c r="E2053" s="905">
        <v>102500</v>
      </c>
      <c r="F2053" s="841"/>
      <c r="G2053" s="841"/>
      <c r="H2053" s="840">
        <f t="shared" si="62"/>
        <v>0</v>
      </c>
      <c r="I2053" s="840">
        <f t="shared" si="63"/>
        <v>205000</v>
      </c>
    </row>
    <row r="2054" spans="1:9" ht="112.5">
      <c r="A2054" s="1081"/>
      <c r="B2054" s="475" t="s">
        <v>1326</v>
      </c>
      <c r="C2054" s="530">
        <f>246278-16278-114401</f>
        <v>115599</v>
      </c>
      <c r="D2054" s="530"/>
      <c r="E2054" s="530">
        <f>246278-16278-114401</f>
        <v>115599</v>
      </c>
      <c r="F2054" s="841"/>
      <c r="G2054" s="841"/>
      <c r="H2054" s="840">
        <f t="shared" si="62"/>
        <v>0</v>
      </c>
      <c r="I2054" s="840">
        <f t="shared" si="63"/>
        <v>231198</v>
      </c>
    </row>
    <row r="2055" spans="1:9" ht="75">
      <c r="A2055" s="1081"/>
      <c r="B2055" s="846" t="s">
        <v>3046</v>
      </c>
      <c r="C2055" s="905">
        <v>24400</v>
      </c>
      <c r="D2055" s="905"/>
      <c r="E2055" s="905">
        <v>24400</v>
      </c>
      <c r="F2055" s="841"/>
      <c r="G2055" s="841"/>
      <c r="H2055" s="840">
        <f t="shared" si="62"/>
        <v>0</v>
      </c>
      <c r="I2055" s="840">
        <f t="shared" si="63"/>
        <v>48800</v>
      </c>
    </row>
    <row r="2056" spans="1:9" ht="150">
      <c r="A2056" s="1081"/>
      <c r="B2056" s="846" t="s">
        <v>3047</v>
      </c>
      <c r="C2056" s="905">
        <v>26270</v>
      </c>
      <c r="D2056" s="905"/>
      <c r="E2056" s="905">
        <v>26270</v>
      </c>
      <c r="F2056" s="841"/>
      <c r="G2056" s="841"/>
      <c r="H2056" s="840">
        <f t="shared" si="62"/>
        <v>0</v>
      </c>
      <c r="I2056" s="840">
        <f t="shared" si="63"/>
        <v>52540</v>
      </c>
    </row>
    <row r="2057" spans="1:9" ht="168.75">
      <c r="A2057" s="1081"/>
      <c r="B2057" s="846" t="s">
        <v>3048</v>
      </c>
      <c r="C2057" s="905">
        <v>30531</v>
      </c>
      <c r="D2057" s="905">
        <v>20331</v>
      </c>
      <c r="E2057" s="905">
        <v>10200</v>
      </c>
      <c r="F2057" s="841"/>
      <c r="G2057" s="841"/>
      <c r="H2057" s="840">
        <f t="shared" ref="H2057:H2120" si="64">E2057+D2057-C2057</f>
        <v>0</v>
      </c>
      <c r="I2057" s="840">
        <f t="shared" ref="I2057:I2120" si="65">SUM(C2057:E2057)</f>
        <v>61062</v>
      </c>
    </row>
    <row r="2058" spans="1:9" ht="75">
      <c r="A2058" s="1081"/>
      <c r="B2058" s="846" t="s">
        <v>3049</v>
      </c>
      <c r="C2058" s="905">
        <v>30000</v>
      </c>
      <c r="D2058" s="905">
        <v>30000</v>
      </c>
      <c r="E2058" s="905"/>
      <c r="F2058" s="841"/>
      <c r="G2058" s="841"/>
      <c r="H2058" s="840">
        <f t="shared" si="64"/>
        <v>0</v>
      </c>
      <c r="I2058" s="840">
        <f t="shared" si="65"/>
        <v>60000</v>
      </c>
    </row>
    <row r="2059" spans="1:9" ht="56.25">
      <c r="A2059" s="1081"/>
      <c r="B2059" s="846" t="s">
        <v>3050</v>
      </c>
      <c r="C2059" s="905">
        <v>3200</v>
      </c>
      <c r="D2059" s="905">
        <v>3200</v>
      </c>
      <c r="E2059" s="905"/>
      <c r="F2059" s="841"/>
      <c r="G2059" s="841"/>
      <c r="H2059" s="840">
        <f t="shared" si="64"/>
        <v>0</v>
      </c>
      <c r="I2059" s="840">
        <f t="shared" si="65"/>
        <v>6400</v>
      </c>
    </row>
    <row r="2060" spans="1:9" ht="37.5">
      <c r="A2060" s="1081"/>
      <c r="B2060" s="475" t="s">
        <v>1905</v>
      </c>
      <c r="C2060" s="911">
        <v>50000</v>
      </c>
      <c r="D2060" s="911">
        <v>50000</v>
      </c>
      <c r="E2060" s="911"/>
      <c r="F2060" s="841"/>
      <c r="G2060" s="841"/>
      <c r="H2060" s="840">
        <f t="shared" si="64"/>
        <v>0</v>
      </c>
      <c r="I2060" s="840">
        <f t="shared" si="65"/>
        <v>100000</v>
      </c>
    </row>
    <row r="2061" spans="1:9" ht="37.5">
      <c r="A2061" s="1081"/>
      <c r="B2061" s="475" t="s">
        <v>1906</v>
      </c>
      <c r="C2061" s="911">
        <v>100000</v>
      </c>
      <c r="D2061" s="911"/>
      <c r="E2061" s="911">
        <v>100000</v>
      </c>
      <c r="F2061" s="841"/>
      <c r="G2061" s="841"/>
      <c r="H2061" s="840">
        <f t="shared" si="64"/>
        <v>0</v>
      </c>
      <c r="I2061" s="840">
        <f t="shared" si="65"/>
        <v>200000</v>
      </c>
    </row>
    <row r="2062" spans="1:9" ht="37.5">
      <c r="A2062" s="1081"/>
      <c r="B2062" s="475" t="s">
        <v>2089</v>
      </c>
      <c r="C2062" s="908">
        <v>15000</v>
      </c>
      <c r="D2062" s="908">
        <v>15000</v>
      </c>
      <c r="E2062" s="905"/>
      <c r="F2062" s="841"/>
      <c r="G2062" s="841"/>
      <c r="H2062" s="840">
        <f t="shared" si="64"/>
        <v>0</v>
      </c>
      <c r="I2062" s="840">
        <f t="shared" si="65"/>
        <v>30000</v>
      </c>
    </row>
    <row r="2063" spans="1:9" ht="168.75">
      <c r="A2063" s="1081"/>
      <c r="B2063" s="475" t="s">
        <v>2090</v>
      </c>
      <c r="C2063" s="908">
        <v>195605</v>
      </c>
      <c r="D2063" s="908">
        <v>154605</v>
      </c>
      <c r="E2063" s="905">
        <v>41000</v>
      </c>
      <c r="F2063" s="841"/>
      <c r="G2063" s="841"/>
      <c r="H2063" s="840">
        <f t="shared" si="64"/>
        <v>0</v>
      </c>
      <c r="I2063" s="840">
        <f t="shared" si="65"/>
        <v>391210</v>
      </c>
    </row>
    <row r="2064" spans="1:9" s="302" customFormat="1" ht="37.5">
      <c r="A2064" s="1068"/>
      <c r="B2064" s="475" t="s">
        <v>2091</v>
      </c>
      <c r="C2064" s="908">
        <v>35000</v>
      </c>
      <c r="D2064" s="908">
        <v>35000</v>
      </c>
      <c r="E2064" s="905"/>
      <c r="F2064" s="841"/>
      <c r="G2064" s="841"/>
      <c r="H2064" s="840">
        <f t="shared" si="64"/>
        <v>0</v>
      </c>
      <c r="I2064" s="840">
        <f t="shared" si="65"/>
        <v>70000</v>
      </c>
    </row>
    <row r="2065" spans="1:9" s="302" customFormat="1" ht="56.25">
      <c r="A2065" s="1068"/>
      <c r="B2065" s="475" t="s">
        <v>2092</v>
      </c>
      <c r="C2065" s="908">
        <v>18000</v>
      </c>
      <c r="D2065" s="908"/>
      <c r="E2065" s="905">
        <v>18000</v>
      </c>
      <c r="F2065" s="841"/>
      <c r="G2065" s="841"/>
      <c r="H2065" s="840">
        <f t="shared" si="64"/>
        <v>0</v>
      </c>
      <c r="I2065" s="840">
        <f t="shared" si="65"/>
        <v>36000</v>
      </c>
    </row>
    <row r="2066" spans="1:9" s="302" customFormat="1" ht="93.75">
      <c r="A2066" s="1068"/>
      <c r="B2066" s="475" t="s">
        <v>2093</v>
      </c>
      <c r="C2066" s="908">
        <v>10700</v>
      </c>
      <c r="D2066" s="908">
        <v>10700</v>
      </c>
      <c r="E2066" s="905"/>
      <c r="F2066" s="841"/>
      <c r="G2066" s="841"/>
      <c r="H2066" s="840">
        <f t="shared" si="64"/>
        <v>0</v>
      </c>
      <c r="I2066" s="840">
        <f t="shared" si="65"/>
        <v>21400</v>
      </c>
    </row>
    <row r="2067" spans="1:9" s="302" customFormat="1" ht="56.25">
      <c r="A2067" s="1068"/>
      <c r="B2067" s="475" t="s">
        <v>2094</v>
      </c>
      <c r="C2067" s="908">
        <v>15000</v>
      </c>
      <c r="D2067" s="908">
        <v>15000</v>
      </c>
      <c r="E2067" s="905"/>
      <c r="F2067" s="841"/>
      <c r="G2067" s="841"/>
      <c r="H2067" s="840">
        <f t="shared" si="64"/>
        <v>0</v>
      </c>
      <c r="I2067" s="840">
        <f t="shared" si="65"/>
        <v>30000</v>
      </c>
    </row>
    <row r="2068" spans="1:9" s="302" customFormat="1" ht="75" hidden="1">
      <c r="A2068" s="1068"/>
      <c r="B2068" s="475" t="s">
        <v>2095</v>
      </c>
      <c r="C2068" s="908">
        <f>55000-55000</f>
        <v>0</v>
      </c>
      <c r="D2068" s="908"/>
      <c r="E2068" s="905">
        <f>55000-55000</f>
        <v>0</v>
      </c>
      <c r="F2068" s="841"/>
      <c r="G2068" s="841"/>
      <c r="H2068" s="840">
        <f t="shared" si="64"/>
        <v>0</v>
      </c>
      <c r="I2068" s="840">
        <f t="shared" si="65"/>
        <v>0</v>
      </c>
    </row>
    <row r="2069" spans="1:9" s="302" customFormat="1" ht="56.25">
      <c r="A2069" s="1068"/>
      <c r="B2069" s="475" t="s">
        <v>2096</v>
      </c>
      <c r="C2069" s="908">
        <v>15000</v>
      </c>
      <c r="D2069" s="908"/>
      <c r="E2069" s="905">
        <v>15000</v>
      </c>
      <c r="F2069" s="841"/>
      <c r="G2069" s="841"/>
      <c r="H2069" s="840">
        <f t="shared" si="64"/>
        <v>0</v>
      </c>
      <c r="I2069" s="840">
        <f t="shared" si="65"/>
        <v>30000</v>
      </c>
    </row>
    <row r="2070" spans="1:9" s="302" customFormat="1" ht="112.5">
      <c r="A2070" s="1068"/>
      <c r="B2070" s="475" t="s">
        <v>2097</v>
      </c>
      <c r="C2070" s="908">
        <v>36905</v>
      </c>
      <c r="D2070" s="908">
        <v>14505</v>
      </c>
      <c r="E2070" s="905">
        <v>22400</v>
      </c>
      <c r="F2070" s="841"/>
      <c r="G2070" s="841"/>
      <c r="H2070" s="840">
        <f t="shared" si="64"/>
        <v>0</v>
      </c>
      <c r="I2070" s="840">
        <f t="shared" si="65"/>
        <v>73810</v>
      </c>
    </row>
    <row r="2071" spans="1:9" s="302" customFormat="1" ht="37.5">
      <c r="A2071" s="1068"/>
      <c r="B2071" s="475" t="s">
        <v>2583</v>
      </c>
      <c r="C2071" s="905">
        <v>70000</v>
      </c>
      <c r="D2071" s="905">
        <v>70000</v>
      </c>
      <c r="E2071" s="905"/>
      <c r="F2071" s="841"/>
      <c r="G2071" s="841"/>
      <c r="H2071" s="840">
        <f t="shared" si="64"/>
        <v>0</v>
      </c>
      <c r="I2071" s="840">
        <f t="shared" si="65"/>
        <v>140000</v>
      </c>
    </row>
    <row r="2072" spans="1:9" s="302" customFormat="1" ht="37.5">
      <c r="A2072" s="1068"/>
      <c r="B2072" s="475" t="s">
        <v>2584</v>
      </c>
      <c r="C2072" s="905">
        <v>10000</v>
      </c>
      <c r="D2072" s="905">
        <v>10000</v>
      </c>
      <c r="E2072" s="905"/>
      <c r="F2072" s="841"/>
      <c r="G2072" s="841"/>
      <c r="H2072" s="840">
        <f t="shared" si="64"/>
        <v>0</v>
      </c>
      <c r="I2072" s="840">
        <f t="shared" si="65"/>
        <v>20000</v>
      </c>
    </row>
    <row r="2073" spans="1:9" s="302" customFormat="1" ht="75">
      <c r="A2073" s="1068"/>
      <c r="B2073" s="475" t="s">
        <v>2585</v>
      </c>
      <c r="C2073" s="905">
        <v>30000</v>
      </c>
      <c r="D2073" s="905">
        <v>30000</v>
      </c>
      <c r="E2073" s="905"/>
      <c r="F2073" s="841"/>
      <c r="G2073" s="841"/>
      <c r="H2073" s="840">
        <f t="shared" si="64"/>
        <v>0</v>
      </c>
      <c r="I2073" s="840">
        <f t="shared" si="65"/>
        <v>60000</v>
      </c>
    </row>
    <row r="2074" spans="1:9" s="302" customFormat="1" ht="37.5">
      <c r="A2074" s="1068"/>
      <c r="B2074" s="475" t="s">
        <v>2586</v>
      </c>
      <c r="C2074" s="905">
        <v>10000</v>
      </c>
      <c r="D2074" s="905">
        <v>10000</v>
      </c>
      <c r="E2074" s="905"/>
      <c r="F2074" s="841"/>
      <c r="G2074" s="841"/>
      <c r="H2074" s="840">
        <f t="shared" si="64"/>
        <v>0</v>
      </c>
      <c r="I2074" s="840">
        <f t="shared" si="65"/>
        <v>20000</v>
      </c>
    </row>
    <row r="2075" spans="1:9" s="302" customFormat="1" ht="37.5">
      <c r="A2075" s="1068"/>
      <c r="B2075" s="475" t="s">
        <v>2804</v>
      </c>
      <c r="C2075" s="915">
        <v>100441</v>
      </c>
      <c r="D2075" s="915">
        <v>100441</v>
      </c>
      <c r="E2075" s="914"/>
      <c r="F2075" s="841"/>
      <c r="G2075" s="841"/>
      <c r="H2075" s="840">
        <f t="shared" si="64"/>
        <v>0</v>
      </c>
      <c r="I2075" s="840">
        <f t="shared" si="65"/>
        <v>200882</v>
      </c>
    </row>
    <row r="2076" spans="1:9" s="302" customFormat="1" ht="75">
      <c r="A2076" s="1068"/>
      <c r="B2076" s="475" t="s">
        <v>2805</v>
      </c>
      <c r="C2076" s="915">
        <v>50000</v>
      </c>
      <c r="D2076" s="915"/>
      <c r="E2076" s="914">
        <v>50000</v>
      </c>
      <c r="F2076" s="841"/>
      <c r="G2076" s="841"/>
      <c r="H2076" s="840">
        <f t="shared" si="64"/>
        <v>0</v>
      </c>
      <c r="I2076" s="840">
        <f t="shared" si="65"/>
        <v>100000</v>
      </c>
    </row>
    <row r="2077" spans="1:9" s="302" customFormat="1" ht="56.25">
      <c r="A2077" s="1068"/>
      <c r="B2077" s="475" t="s">
        <v>2806</v>
      </c>
      <c r="C2077" s="908">
        <v>10392</v>
      </c>
      <c r="D2077" s="908">
        <v>10392</v>
      </c>
      <c r="E2077" s="905"/>
      <c r="F2077" s="841"/>
      <c r="G2077" s="841"/>
      <c r="H2077" s="840">
        <f t="shared" si="64"/>
        <v>0</v>
      </c>
      <c r="I2077" s="840">
        <f t="shared" si="65"/>
        <v>20784</v>
      </c>
    </row>
    <row r="2078" spans="1:9" s="302" customFormat="1" ht="112.5">
      <c r="A2078" s="1068"/>
      <c r="B2078" s="846" t="s">
        <v>2807</v>
      </c>
      <c r="C2078" s="908">
        <v>8000</v>
      </c>
      <c r="D2078" s="908">
        <v>8000</v>
      </c>
      <c r="E2078" s="905"/>
      <c r="F2078" s="841"/>
      <c r="G2078" s="841"/>
      <c r="H2078" s="840">
        <f t="shared" si="64"/>
        <v>0</v>
      </c>
      <c r="I2078" s="840">
        <f t="shared" si="65"/>
        <v>16000</v>
      </c>
    </row>
    <row r="2079" spans="1:9" s="302" customFormat="1" ht="112.5">
      <c r="A2079" s="1068"/>
      <c r="B2079" s="846" t="s">
        <v>2808</v>
      </c>
      <c r="C2079" s="908">
        <v>47550</v>
      </c>
      <c r="D2079" s="908">
        <v>47550</v>
      </c>
      <c r="E2079" s="905"/>
      <c r="F2079" s="841"/>
      <c r="G2079" s="841"/>
      <c r="H2079" s="840">
        <f t="shared" si="64"/>
        <v>0</v>
      </c>
      <c r="I2079" s="840">
        <f t="shared" si="65"/>
        <v>95100</v>
      </c>
    </row>
    <row r="2080" spans="1:9" s="302" customFormat="1" ht="56.25">
      <c r="A2080" s="1068"/>
      <c r="B2080" s="846" t="s">
        <v>2809</v>
      </c>
      <c r="C2080" s="908">
        <v>5300</v>
      </c>
      <c r="D2080" s="908">
        <v>5300</v>
      </c>
      <c r="E2080" s="905"/>
      <c r="F2080" s="841"/>
      <c r="G2080" s="841"/>
      <c r="H2080" s="840">
        <f t="shared" si="64"/>
        <v>0</v>
      </c>
      <c r="I2080" s="840">
        <f t="shared" si="65"/>
        <v>10600</v>
      </c>
    </row>
    <row r="2081" spans="1:9" s="302" customFormat="1" ht="56.25">
      <c r="A2081" s="1068"/>
      <c r="B2081" s="846" t="s">
        <v>2810</v>
      </c>
      <c r="C2081" s="908">
        <v>9300</v>
      </c>
      <c r="D2081" s="908">
        <v>9300</v>
      </c>
      <c r="E2081" s="905"/>
      <c r="F2081" s="841"/>
      <c r="G2081" s="841"/>
      <c r="H2081" s="840">
        <f t="shared" si="64"/>
        <v>0</v>
      </c>
      <c r="I2081" s="840">
        <f t="shared" si="65"/>
        <v>18600</v>
      </c>
    </row>
    <row r="2082" spans="1:9" s="302" customFormat="1" ht="75">
      <c r="A2082" s="1068"/>
      <c r="B2082" s="493" t="s">
        <v>2811</v>
      </c>
      <c r="C2082" s="908">
        <v>17500</v>
      </c>
      <c r="D2082" s="908">
        <v>3500</v>
      </c>
      <c r="E2082" s="905">
        <v>14000</v>
      </c>
      <c r="F2082" s="841"/>
      <c r="G2082" s="841"/>
      <c r="H2082" s="840">
        <f t="shared" si="64"/>
        <v>0</v>
      </c>
      <c r="I2082" s="840">
        <f t="shared" si="65"/>
        <v>35000</v>
      </c>
    </row>
    <row r="2083" spans="1:9" s="302" customFormat="1" ht="37.5">
      <c r="A2083" s="1068"/>
      <c r="B2083" s="475" t="s">
        <v>2812</v>
      </c>
      <c r="C2083" s="908">
        <v>10000</v>
      </c>
      <c r="D2083" s="908"/>
      <c r="E2083" s="905">
        <v>10000</v>
      </c>
      <c r="F2083" s="841"/>
      <c r="G2083" s="841"/>
      <c r="H2083" s="840">
        <f t="shared" si="64"/>
        <v>0</v>
      </c>
      <c r="I2083" s="840">
        <f t="shared" si="65"/>
        <v>20000</v>
      </c>
    </row>
    <row r="2084" spans="1:9" s="302" customFormat="1" ht="56.25">
      <c r="A2084" s="1068"/>
      <c r="B2084" s="475" t="s">
        <v>2813</v>
      </c>
      <c r="C2084" s="908">
        <v>7500</v>
      </c>
      <c r="D2084" s="908"/>
      <c r="E2084" s="905">
        <v>7500</v>
      </c>
      <c r="F2084" s="841"/>
      <c r="G2084" s="841"/>
      <c r="H2084" s="840">
        <f t="shared" si="64"/>
        <v>0</v>
      </c>
      <c r="I2084" s="840">
        <f t="shared" si="65"/>
        <v>15000</v>
      </c>
    </row>
    <row r="2085" spans="1:9" s="302" customFormat="1" ht="37.5">
      <c r="A2085" s="1068"/>
      <c r="B2085" s="493" t="s">
        <v>2814</v>
      </c>
      <c r="C2085" s="908">
        <v>8899</v>
      </c>
      <c r="D2085" s="908"/>
      <c r="E2085" s="905">
        <v>8899</v>
      </c>
      <c r="F2085" s="841"/>
      <c r="G2085" s="841"/>
      <c r="H2085" s="840">
        <f t="shared" si="64"/>
        <v>0</v>
      </c>
      <c r="I2085" s="840">
        <f t="shared" si="65"/>
        <v>17798</v>
      </c>
    </row>
    <row r="2086" spans="1:9" s="302" customFormat="1" ht="37.5">
      <c r="A2086" s="1071"/>
      <c r="B2086" s="475" t="s">
        <v>3162</v>
      </c>
      <c r="C2086" s="908">
        <v>10000</v>
      </c>
      <c r="D2086" s="908"/>
      <c r="E2086" s="905">
        <v>10000</v>
      </c>
      <c r="F2086" s="841"/>
      <c r="G2086" s="841"/>
      <c r="H2086" s="840">
        <f t="shared" si="64"/>
        <v>0</v>
      </c>
      <c r="I2086" s="840">
        <f t="shared" si="65"/>
        <v>20000</v>
      </c>
    </row>
    <row r="2087" spans="1:9" s="302" customFormat="1" ht="56.25">
      <c r="A2087" s="1071"/>
      <c r="B2087" s="475" t="s">
        <v>3163</v>
      </c>
      <c r="C2087" s="915">
        <v>4000</v>
      </c>
      <c r="D2087" s="915">
        <v>4000</v>
      </c>
      <c r="E2087" s="914"/>
      <c r="F2087" s="841"/>
      <c r="G2087" s="841"/>
      <c r="H2087" s="840">
        <f t="shared" si="64"/>
        <v>0</v>
      </c>
      <c r="I2087" s="840">
        <f t="shared" si="65"/>
        <v>8000</v>
      </c>
    </row>
    <row r="2088" spans="1:9" s="302" customFormat="1" hidden="1">
      <c r="A2088" s="1071"/>
      <c r="B2088" s="475"/>
      <c r="C2088" s="916"/>
      <c r="D2088" s="916"/>
      <c r="E2088" s="905"/>
      <c r="F2088" s="841"/>
      <c r="G2088" s="841"/>
      <c r="H2088" s="840">
        <f t="shared" si="64"/>
        <v>0</v>
      </c>
      <c r="I2088" s="840">
        <f t="shared" si="65"/>
        <v>0</v>
      </c>
    </row>
    <row r="2089" spans="1:9" s="302" customFormat="1" hidden="1">
      <c r="A2089" s="1071"/>
      <c r="B2089" s="535"/>
      <c r="C2089" s="905"/>
      <c r="D2089" s="905"/>
      <c r="E2089" s="919"/>
      <c r="F2089" s="841"/>
      <c r="G2089" s="841"/>
      <c r="H2089" s="840">
        <f t="shared" si="64"/>
        <v>0</v>
      </c>
      <c r="I2089" s="840">
        <f t="shared" si="65"/>
        <v>0</v>
      </c>
    </row>
    <row r="2090" spans="1:9" s="302" customFormat="1" hidden="1">
      <c r="A2090" s="1071"/>
      <c r="B2090" s="475"/>
      <c r="C2090" s="916"/>
      <c r="D2090" s="916"/>
      <c r="E2090" s="905"/>
      <c r="F2090" s="841"/>
      <c r="G2090" s="841"/>
      <c r="H2090" s="840">
        <f t="shared" si="64"/>
        <v>0</v>
      </c>
      <c r="I2090" s="840">
        <f t="shared" si="65"/>
        <v>0</v>
      </c>
    </row>
    <row r="2091" spans="1:9" s="302" customFormat="1" hidden="1">
      <c r="A2091" s="1071"/>
      <c r="B2091" s="475"/>
      <c r="C2091" s="916"/>
      <c r="D2091" s="916"/>
      <c r="E2091" s="905"/>
      <c r="F2091" s="841"/>
      <c r="G2091" s="841"/>
      <c r="H2091" s="840">
        <f t="shared" si="64"/>
        <v>0</v>
      </c>
      <c r="I2091" s="840">
        <f t="shared" si="65"/>
        <v>0</v>
      </c>
    </row>
    <row r="2092" spans="1:9" s="302" customFormat="1" hidden="1">
      <c r="A2092" s="1071"/>
      <c r="B2092" s="475"/>
      <c r="C2092" s="916"/>
      <c r="D2092" s="916"/>
      <c r="E2092" s="905"/>
      <c r="F2092" s="841"/>
      <c r="G2092" s="841"/>
      <c r="H2092" s="840">
        <f t="shared" si="64"/>
        <v>0</v>
      </c>
      <c r="I2092" s="840">
        <f t="shared" si="65"/>
        <v>0</v>
      </c>
    </row>
    <row r="2093" spans="1:9" s="302" customFormat="1" hidden="1">
      <c r="A2093" s="1071"/>
      <c r="B2093" s="475"/>
      <c r="C2093" s="916"/>
      <c r="D2093" s="916"/>
      <c r="E2093" s="905"/>
      <c r="F2093" s="841"/>
      <c r="G2093" s="841"/>
      <c r="H2093" s="840">
        <f t="shared" si="64"/>
        <v>0</v>
      </c>
      <c r="I2093" s="840">
        <f t="shared" si="65"/>
        <v>0</v>
      </c>
    </row>
    <row r="2094" spans="1:9" s="302" customFormat="1" hidden="1">
      <c r="A2094" s="1071"/>
      <c r="B2094" s="475"/>
      <c r="C2094" s="916"/>
      <c r="D2094" s="916"/>
      <c r="E2094" s="905"/>
      <c r="F2094" s="841"/>
      <c r="G2094" s="841"/>
      <c r="H2094" s="840">
        <f t="shared" si="64"/>
        <v>0</v>
      </c>
      <c r="I2094" s="840">
        <f t="shared" si="65"/>
        <v>0</v>
      </c>
    </row>
    <row r="2095" spans="1:9" s="302" customFormat="1" hidden="1">
      <c r="A2095" s="1071"/>
      <c r="B2095" s="475"/>
      <c r="C2095" s="916"/>
      <c r="D2095" s="916"/>
      <c r="E2095" s="905"/>
      <c r="F2095" s="841"/>
      <c r="G2095" s="841"/>
      <c r="H2095" s="840">
        <f t="shared" si="64"/>
        <v>0</v>
      </c>
      <c r="I2095" s="840">
        <f t="shared" si="65"/>
        <v>0</v>
      </c>
    </row>
    <row r="2096" spans="1:9" s="302" customFormat="1" hidden="1">
      <c r="A2096" s="1071"/>
      <c r="B2096" s="475"/>
      <c r="C2096" s="916"/>
      <c r="D2096" s="916"/>
      <c r="E2096" s="905"/>
      <c r="F2096" s="841"/>
      <c r="G2096" s="841"/>
      <c r="H2096" s="840">
        <f t="shared" si="64"/>
        <v>0</v>
      </c>
      <c r="I2096" s="840">
        <f t="shared" si="65"/>
        <v>0</v>
      </c>
    </row>
    <row r="2097" spans="1:9" s="302" customFormat="1" hidden="1">
      <c r="A2097" s="1071"/>
      <c r="B2097" s="475"/>
      <c r="C2097" s="916"/>
      <c r="D2097" s="916"/>
      <c r="E2097" s="905"/>
      <c r="F2097" s="841"/>
      <c r="G2097" s="841"/>
      <c r="H2097" s="840">
        <f t="shared" si="64"/>
        <v>0</v>
      </c>
      <c r="I2097" s="840">
        <f t="shared" si="65"/>
        <v>0</v>
      </c>
    </row>
    <row r="2098" spans="1:9" s="302" customFormat="1" hidden="1">
      <c r="A2098" s="1071"/>
      <c r="B2098" s="475"/>
      <c r="C2098" s="916"/>
      <c r="D2098" s="916"/>
      <c r="E2098" s="905"/>
      <c r="F2098" s="841"/>
      <c r="G2098" s="841"/>
      <c r="H2098" s="840">
        <f t="shared" si="64"/>
        <v>0</v>
      </c>
      <c r="I2098" s="840">
        <f t="shared" si="65"/>
        <v>0</v>
      </c>
    </row>
    <row r="2099" spans="1:9" s="302" customFormat="1" hidden="1">
      <c r="A2099" s="1071"/>
      <c r="B2099" s="475"/>
      <c r="C2099" s="916"/>
      <c r="D2099" s="916"/>
      <c r="E2099" s="905"/>
      <c r="F2099" s="841"/>
      <c r="G2099" s="841"/>
      <c r="H2099" s="840">
        <f t="shared" si="64"/>
        <v>0</v>
      </c>
      <c r="I2099" s="840">
        <f t="shared" si="65"/>
        <v>0</v>
      </c>
    </row>
    <row r="2100" spans="1:9" s="302" customFormat="1" hidden="1">
      <c r="A2100" s="1071"/>
      <c r="B2100" s="475"/>
      <c r="C2100" s="916"/>
      <c r="D2100" s="916"/>
      <c r="E2100" s="905"/>
      <c r="F2100" s="841"/>
      <c r="G2100" s="841"/>
      <c r="H2100" s="840">
        <f t="shared" si="64"/>
        <v>0</v>
      </c>
      <c r="I2100" s="840">
        <f t="shared" si="65"/>
        <v>0</v>
      </c>
    </row>
    <row r="2101" spans="1:9" s="302" customFormat="1" hidden="1">
      <c r="A2101" s="1071"/>
      <c r="B2101" s="475"/>
      <c r="C2101" s="916"/>
      <c r="D2101" s="916"/>
      <c r="E2101" s="905"/>
      <c r="F2101" s="841"/>
      <c r="G2101" s="841"/>
      <c r="H2101" s="840">
        <f t="shared" si="64"/>
        <v>0</v>
      </c>
      <c r="I2101" s="840">
        <f t="shared" si="65"/>
        <v>0</v>
      </c>
    </row>
    <row r="2102" spans="1:9" s="302" customFormat="1" hidden="1">
      <c r="A2102" s="1071"/>
      <c r="B2102" s="475"/>
      <c r="C2102" s="916"/>
      <c r="D2102" s="916"/>
      <c r="E2102" s="905"/>
      <c r="F2102" s="841"/>
      <c r="G2102" s="841"/>
      <c r="H2102" s="840">
        <f t="shared" si="64"/>
        <v>0</v>
      </c>
      <c r="I2102" s="840">
        <f t="shared" si="65"/>
        <v>0</v>
      </c>
    </row>
    <row r="2103" spans="1:9" s="302" customFormat="1" hidden="1">
      <c r="A2103" s="1071"/>
      <c r="B2103" s="475"/>
      <c r="C2103" s="916"/>
      <c r="D2103" s="916"/>
      <c r="E2103" s="905"/>
      <c r="F2103" s="841"/>
      <c r="G2103" s="841"/>
      <c r="H2103" s="840">
        <f t="shared" si="64"/>
        <v>0</v>
      </c>
      <c r="I2103" s="840">
        <f t="shared" si="65"/>
        <v>0</v>
      </c>
    </row>
    <row r="2104" spans="1:9" s="302" customFormat="1" hidden="1">
      <c r="A2104" s="1071"/>
      <c r="B2104" s="475"/>
      <c r="C2104" s="916"/>
      <c r="D2104" s="916"/>
      <c r="E2104" s="905"/>
      <c r="F2104" s="841"/>
      <c r="G2104" s="841"/>
      <c r="H2104" s="840">
        <f t="shared" si="64"/>
        <v>0</v>
      </c>
      <c r="I2104" s="840">
        <f t="shared" si="65"/>
        <v>0</v>
      </c>
    </row>
    <row r="2105" spans="1:9" s="302" customFormat="1" hidden="1">
      <c r="A2105" s="1071"/>
      <c r="B2105" s="475"/>
      <c r="C2105" s="916"/>
      <c r="D2105" s="916"/>
      <c r="E2105" s="905"/>
      <c r="F2105" s="841"/>
      <c r="G2105" s="841"/>
      <c r="H2105" s="840">
        <f t="shared" si="64"/>
        <v>0</v>
      </c>
      <c r="I2105" s="840">
        <f t="shared" si="65"/>
        <v>0</v>
      </c>
    </row>
    <row r="2106" spans="1:9" s="302" customFormat="1" hidden="1">
      <c r="A2106" s="1071"/>
      <c r="B2106" s="475"/>
      <c r="C2106" s="916"/>
      <c r="D2106" s="916"/>
      <c r="E2106" s="905"/>
      <c r="F2106" s="841"/>
      <c r="G2106" s="841"/>
      <c r="H2106" s="840">
        <f t="shared" si="64"/>
        <v>0</v>
      </c>
      <c r="I2106" s="840">
        <f t="shared" si="65"/>
        <v>0</v>
      </c>
    </row>
    <row r="2107" spans="1:9" s="302" customFormat="1" hidden="1">
      <c r="A2107" s="1071"/>
      <c r="B2107" s="475"/>
      <c r="C2107" s="916"/>
      <c r="D2107" s="916"/>
      <c r="E2107" s="905"/>
      <c r="F2107" s="841"/>
      <c r="G2107" s="841"/>
      <c r="H2107" s="840">
        <f t="shared" si="64"/>
        <v>0</v>
      </c>
      <c r="I2107" s="840">
        <f t="shared" si="65"/>
        <v>0</v>
      </c>
    </row>
    <row r="2108" spans="1:9" s="302" customFormat="1" hidden="1">
      <c r="A2108" s="1071"/>
      <c r="B2108" s="475"/>
      <c r="C2108" s="916"/>
      <c r="D2108" s="916"/>
      <c r="E2108" s="905"/>
      <c r="F2108" s="841"/>
      <c r="G2108" s="841"/>
      <c r="H2108" s="840">
        <f t="shared" si="64"/>
        <v>0</v>
      </c>
      <c r="I2108" s="840">
        <f t="shared" si="65"/>
        <v>0</v>
      </c>
    </row>
    <row r="2109" spans="1:9" s="302" customFormat="1" hidden="1">
      <c r="A2109" s="1071"/>
      <c r="B2109" s="475"/>
      <c r="C2109" s="916"/>
      <c r="D2109" s="916"/>
      <c r="E2109" s="905"/>
      <c r="F2109" s="841"/>
      <c r="G2109" s="841"/>
      <c r="H2109" s="840">
        <f t="shared" si="64"/>
        <v>0</v>
      </c>
      <c r="I2109" s="840">
        <f t="shared" si="65"/>
        <v>0</v>
      </c>
    </row>
    <row r="2110" spans="1:9" s="302" customFormat="1" hidden="1">
      <c r="A2110" s="1071"/>
      <c r="B2110" s="475"/>
      <c r="C2110" s="916"/>
      <c r="D2110" s="916"/>
      <c r="E2110" s="905"/>
      <c r="F2110" s="841"/>
      <c r="G2110" s="841"/>
      <c r="H2110" s="840">
        <f t="shared" si="64"/>
        <v>0</v>
      </c>
      <c r="I2110" s="840">
        <f t="shared" si="65"/>
        <v>0</v>
      </c>
    </row>
    <row r="2111" spans="1:9" s="302" customFormat="1" hidden="1">
      <c r="A2111" s="1071"/>
      <c r="B2111" s="475"/>
      <c r="C2111" s="916"/>
      <c r="D2111" s="916"/>
      <c r="E2111" s="905"/>
      <c r="F2111" s="841"/>
      <c r="G2111" s="841"/>
      <c r="H2111" s="840">
        <f t="shared" si="64"/>
        <v>0</v>
      </c>
      <c r="I2111" s="840">
        <f t="shared" si="65"/>
        <v>0</v>
      </c>
    </row>
    <row r="2112" spans="1:9" s="302" customFormat="1" hidden="1">
      <c r="A2112" s="1071"/>
      <c r="B2112" s="475"/>
      <c r="C2112" s="916"/>
      <c r="D2112" s="916"/>
      <c r="E2112" s="905"/>
      <c r="F2112" s="841"/>
      <c r="G2112" s="841"/>
      <c r="H2112" s="840">
        <f t="shared" si="64"/>
        <v>0</v>
      </c>
      <c r="I2112" s="840">
        <f t="shared" si="65"/>
        <v>0</v>
      </c>
    </row>
    <row r="2113" spans="1:9" s="302" customFormat="1" hidden="1">
      <c r="A2113" s="1071"/>
      <c r="B2113" s="475"/>
      <c r="C2113" s="916"/>
      <c r="D2113" s="916"/>
      <c r="E2113" s="905"/>
      <c r="F2113" s="841"/>
      <c r="G2113" s="841"/>
      <c r="H2113" s="840">
        <f t="shared" si="64"/>
        <v>0</v>
      </c>
      <c r="I2113" s="840">
        <f t="shared" si="65"/>
        <v>0</v>
      </c>
    </row>
    <row r="2114" spans="1:9" s="302" customFormat="1" hidden="1">
      <c r="A2114" s="1071"/>
      <c r="B2114" s="475"/>
      <c r="C2114" s="916"/>
      <c r="D2114" s="916"/>
      <c r="E2114" s="905"/>
      <c r="F2114" s="841"/>
      <c r="G2114" s="841"/>
      <c r="H2114" s="840">
        <f t="shared" si="64"/>
        <v>0</v>
      </c>
      <c r="I2114" s="840">
        <f t="shared" si="65"/>
        <v>0</v>
      </c>
    </row>
    <row r="2115" spans="1:9" s="302" customFormat="1" hidden="1">
      <c r="A2115" s="1071"/>
      <c r="B2115" s="475"/>
      <c r="C2115" s="916"/>
      <c r="D2115" s="916"/>
      <c r="E2115" s="905"/>
      <c r="F2115" s="841"/>
      <c r="G2115" s="841"/>
      <c r="H2115" s="840">
        <f t="shared" si="64"/>
        <v>0</v>
      </c>
      <c r="I2115" s="840">
        <f t="shared" si="65"/>
        <v>0</v>
      </c>
    </row>
    <row r="2116" spans="1:9" s="302" customFormat="1" hidden="1">
      <c r="A2116" s="1071"/>
      <c r="B2116" s="475"/>
      <c r="C2116" s="916"/>
      <c r="D2116" s="916"/>
      <c r="E2116" s="905"/>
      <c r="F2116" s="841"/>
      <c r="G2116" s="841"/>
      <c r="H2116" s="840">
        <f t="shared" si="64"/>
        <v>0</v>
      </c>
      <c r="I2116" s="840">
        <f t="shared" si="65"/>
        <v>0</v>
      </c>
    </row>
    <row r="2117" spans="1:9" s="302" customFormat="1" hidden="1">
      <c r="A2117" s="1071"/>
      <c r="B2117" s="475"/>
      <c r="C2117" s="916"/>
      <c r="D2117" s="916"/>
      <c r="E2117" s="905"/>
      <c r="F2117" s="841"/>
      <c r="G2117" s="841"/>
      <c r="H2117" s="840">
        <f t="shared" si="64"/>
        <v>0</v>
      </c>
      <c r="I2117" s="840">
        <f t="shared" si="65"/>
        <v>0</v>
      </c>
    </row>
    <row r="2118" spans="1:9" s="302" customFormat="1" hidden="1">
      <c r="A2118" s="1071"/>
      <c r="B2118" s="475"/>
      <c r="C2118" s="916"/>
      <c r="D2118" s="916"/>
      <c r="E2118" s="905"/>
      <c r="F2118" s="841"/>
      <c r="G2118" s="841"/>
      <c r="H2118" s="840">
        <f t="shared" si="64"/>
        <v>0</v>
      </c>
      <c r="I2118" s="840">
        <f t="shared" si="65"/>
        <v>0</v>
      </c>
    </row>
    <row r="2119" spans="1:9" s="302" customFormat="1" hidden="1">
      <c r="A2119" s="1071"/>
      <c r="B2119" s="475"/>
      <c r="C2119" s="916"/>
      <c r="D2119" s="916"/>
      <c r="E2119" s="905"/>
      <c r="F2119" s="841"/>
      <c r="G2119" s="841"/>
      <c r="H2119" s="840">
        <f t="shared" si="64"/>
        <v>0</v>
      </c>
      <c r="I2119" s="840">
        <f t="shared" si="65"/>
        <v>0</v>
      </c>
    </row>
    <row r="2120" spans="1:9" s="302" customFormat="1" hidden="1">
      <c r="A2120" s="1071"/>
      <c r="B2120" s="475"/>
      <c r="C2120" s="916"/>
      <c r="D2120" s="916"/>
      <c r="E2120" s="905"/>
      <c r="F2120" s="841"/>
      <c r="G2120" s="841"/>
      <c r="H2120" s="840">
        <f t="shared" si="64"/>
        <v>0</v>
      </c>
      <c r="I2120" s="840">
        <f t="shared" si="65"/>
        <v>0</v>
      </c>
    </row>
    <row r="2121" spans="1:9" s="302" customFormat="1" hidden="1">
      <c r="A2121" s="1071"/>
      <c r="B2121" s="475"/>
      <c r="C2121" s="916"/>
      <c r="D2121" s="916"/>
      <c r="E2121" s="905"/>
      <c r="F2121" s="841"/>
      <c r="G2121" s="841"/>
      <c r="H2121" s="840">
        <f t="shared" ref="H2121:H2184" si="66">E2121+D2121-C2121</f>
        <v>0</v>
      </c>
      <c r="I2121" s="840">
        <f t="shared" ref="I2121:I2184" si="67">SUM(C2121:E2121)</f>
        <v>0</v>
      </c>
    </row>
    <row r="2122" spans="1:9" s="302" customFormat="1" hidden="1">
      <c r="A2122" s="1071"/>
      <c r="B2122" s="475"/>
      <c r="C2122" s="916"/>
      <c r="D2122" s="916"/>
      <c r="E2122" s="905"/>
      <c r="F2122" s="841"/>
      <c r="G2122" s="841"/>
      <c r="H2122" s="840">
        <f t="shared" si="66"/>
        <v>0</v>
      </c>
      <c r="I2122" s="840">
        <f t="shared" si="67"/>
        <v>0</v>
      </c>
    </row>
    <row r="2123" spans="1:9" s="302" customFormat="1" hidden="1">
      <c r="A2123" s="1071"/>
      <c r="B2123" s="475"/>
      <c r="C2123" s="916"/>
      <c r="D2123" s="916"/>
      <c r="E2123" s="905"/>
      <c r="F2123" s="841"/>
      <c r="G2123" s="841"/>
      <c r="H2123" s="840">
        <f t="shared" si="66"/>
        <v>0</v>
      </c>
      <c r="I2123" s="840">
        <f t="shared" si="67"/>
        <v>0</v>
      </c>
    </row>
    <row r="2124" spans="1:9" s="302" customFormat="1" hidden="1">
      <c r="A2124" s="1071"/>
      <c r="B2124" s="475"/>
      <c r="C2124" s="916"/>
      <c r="D2124" s="916"/>
      <c r="E2124" s="905"/>
      <c r="F2124" s="841"/>
      <c r="G2124" s="841"/>
      <c r="H2124" s="840">
        <f t="shared" si="66"/>
        <v>0</v>
      </c>
      <c r="I2124" s="840">
        <f t="shared" si="67"/>
        <v>0</v>
      </c>
    </row>
    <row r="2125" spans="1:9" s="302" customFormat="1" hidden="1">
      <c r="A2125" s="1071"/>
      <c r="B2125" s="475"/>
      <c r="C2125" s="916"/>
      <c r="D2125" s="916"/>
      <c r="E2125" s="905"/>
      <c r="F2125" s="841"/>
      <c r="G2125" s="841"/>
      <c r="H2125" s="840">
        <f t="shared" si="66"/>
        <v>0</v>
      </c>
      <c r="I2125" s="840">
        <f t="shared" si="67"/>
        <v>0</v>
      </c>
    </row>
    <row r="2126" spans="1:9" s="302" customFormat="1" hidden="1">
      <c r="A2126" s="1071"/>
      <c r="B2126" s="475"/>
      <c r="C2126" s="916"/>
      <c r="D2126" s="916"/>
      <c r="E2126" s="905"/>
      <c r="F2126" s="841"/>
      <c r="G2126" s="841"/>
      <c r="H2126" s="840">
        <f t="shared" si="66"/>
        <v>0</v>
      </c>
      <c r="I2126" s="840">
        <f t="shared" si="67"/>
        <v>0</v>
      </c>
    </row>
    <row r="2127" spans="1:9" s="302" customFormat="1" ht="18" hidden="1" customHeight="1">
      <c r="A2127" s="1071"/>
      <c r="B2127" s="475"/>
      <c r="C2127" s="916"/>
      <c r="D2127" s="916"/>
      <c r="E2127" s="916"/>
      <c r="F2127" s="841"/>
      <c r="G2127" s="841"/>
      <c r="H2127" s="840">
        <f t="shared" si="66"/>
        <v>0</v>
      </c>
      <c r="I2127" s="840">
        <f t="shared" si="67"/>
        <v>0</v>
      </c>
    </row>
    <row r="2128" spans="1:9" s="302" customFormat="1" ht="18" hidden="1" customHeight="1">
      <c r="A2128" s="1071"/>
      <c r="B2128" s="475"/>
      <c r="C2128" s="916"/>
      <c r="D2128" s="916"/>
      <c r="E2128" s="916"/>
      <c r="F2128" s="841"/>
      <c r="G2128" s="841"/>
      <c r="H2128" s="840">
        <f t="shared" si="66"/>
        <v>0</v>
      </c>
      <c r="I2128" s="840">
        <f t="shared" si="67"/>
        <v>0</v>
      </c>
    </row>
    <row r="2129" spans="1:9" s="302" customFormat="1" ht="18" hidden="1" customHeight="1">
      <c r="A2129" s="1071"/>
      <c r="B2129" s="475"/>
      <c r="C2129" s="916"/>
      <c r="D2129" s="916"/>
      <c r="E2129" s="916"/>
      <c r="F2129" s="841"/>
      <c r="G2129" s="841"/>
      <c r="H2129" s="840">
        <f t="shared" si="66"/>
        <v>0</v>
      </c>
      <c r="I2129" s="840">
        <f t="shared" si="67"/>
        <v>0</v>
      </c>
    </row>
    <row r="2130" spans="1:9" s="302" customFormat="1" ht="18" hidden="1" customHeight="1">
      <c r="A2130" s="1071"/>
      <c r="B2130" s="475"/>
      <c r="C2130" s="916"/>
      <c r="D2130" s="916"/>
      <c r="E2130" s="916"/>
      <c r="F2130" s="841"/>
      <c r="G2130" s="841"/>
      <c r="H2130" s="840">
        <f t="shared" si="66"/>
        <v>0</v>
      </c>
      <c r="I2130" s="840">
        <f t="shared" si="67"/>
        <v>0</v>
      </c>
    </row>
    <row r="2131" spans="1:9" s="302" customFormat="1" ht="18" hidden="1" customHeight="1">
      <c r="A2131" s="1071"/>
      <c r="B2131" s="864"/>
      <c r="C2131" s="917"/>
      <c r="D2131" s="917"/>
      <c r="E2131" s="917"/>
      <c r="F2131" s="841"/>
      <c r="G2131" s="841"/>
      <c r="H2131" s="840">
        <f t="shared" si="66"/>
        <v>0</v>
      </c>
      <c r="I2131" s="840">
        <f t="shared" si="67"/>
        <v>0</v>
      </c>
    </row>
    <row r="2132" spans="1:9">
      <c r="A2132" s="1081"/>
      <c r="B2132" s="461" t="s">
        <v>253</v>
      </c>
      <c r="C2132" s="919">
        <f>SUM(C2047:C2131)</f>
        <v>1462770</v>
      </c>
      <c r="D2132" s="919">
        <f>SUM(D2047:D2131)</f>
        <v>877002</v>
      </c>
      <c r="E2132" s="919">
        <f>SUM(E2047:E2131)</f>
        <v>585768</v>
      </c>
      <c r="F2132" s="850">
        <f>SUM(F2047:F2050)</f>
        <v>0</v>
      </c>
      <c r="G2132" s="851">
        <f>SUM(G2047:G2050)</f>
        <v>0</v>
      </c>
      <c r="H2132" s="840">
        <f t="shared" si="66"/>
        <v>0</v>
      </c>
      <c r="I2132" s="840">
        <f t="shared" si="67"/>
        <v>2925540</v>
      </c>
    </row>
    <row r="2133" spans="1:9" s="302" customFormat="1" ht="70.5" customHeight="1">
      <c r="A2133" s="1071" t="s">
        <v>270</v>
      </c>
      <c r="B2133" s="887" t="s">
        <v>952</v>
      </c>
      <c r="C2133" s="937">
        <v>10400</v>
      </c>
      <c r="D2133" s="937">
        <v>10400</v>
      </c>
      <c r="E2133" s="937"/>
      <c r="F2133" s="854"/>
      <c r="G2133" s="854"/>
      <c r="H2133" s="840">
        <f t="shared" si="66"/>
        <v>0</v>
      </c>
      <c r="I2133" s="840">
        <f t="shared" si="67"/>
        <v>20800</v>
      </c>
    </row>
    <row r="2134" spans="1:9" s="302" customFormat="1" ht="37.5">
      <c r="A2134" s="1071"/>
      <c r="B2134" s="535" t="s">
        <v>1089</v>
      </c>
      <c r="C2134" s="905">
        <v>65000</v>
      </c>
      <c r="D2134" s="905">
        <v>65000</v>
      </c>
      <c r="E2134" s="905"/>
      <c r="F2134" s="854"/>
      <c r="G2134" s="854"/>
      <c r="H2134" s="840">
        <f t="shared" si="66"/>
        <v>0</v>
      </c>
      <c r="I2134" s="840">
        <f t="shared" si="67"/>
        <v>130000</v>
      </c>
    </row>
    <row r="2135" spans="1:9" ht="75">
      <c r="A2135" s="1081"/>
      <c r="B2135" s="475" t="s">
        <v>1327</v>
      </c>
      <c r="C2135" s="530">
        <v>20000</v>
      </c>
      <c r="D2135" s="530"/>
      <c r="E2135" s="905">
        <v>20000</v>
      </c>
      <c r="F2135" s="841"/>
      <c r="G2135" s="841"/>
      <c r="H2135" s="840">
        <f t="shared" si="66"/>
        <v>0</v>
      </c>
      <c r="I2135" s="840">
        <f t="shared" si="67"/>
        <v>40000</v>
      </c>
    </row>
    <row r="2136" spans="1:9" ht="56.25">
      <c r="A2136" s="1081"/>
      <c r="B2136" s="475" t="s">
        <v>1328</v>
      </c>
      <c r="C2136" s="905">
        <v>20000</v>
      </c>
      <c r="D2136" s="932"/>
      <c r="E2136" s="932">
        <v>20000</v>
      </c>
      <c r="F2136" s="841"/>
      <c r="G2136" s="841"/>
      <c r="H2136" s="840">
        <f t="shared" si="66"/>
        <v>0</v>
      </c>
      <c r="I2136" s="840">
        <f t="shared" si="67"/>
        <v>40000</v>
      </c>
    </row>
    <row r="2137" spans="1:9" ht="75">
      <c r="A2137" s="1081"/>
      <c r="B2137" s="475" t="s">
        <v>1329</v>
      </c>
      <c r="C2137" s="905">
        <v>45000</v>
      </c>
      <c r="D2137" s="932">
        <v>45000</v>
      </c>
      <c r="E2137" s="932"/>
      <c r="F2137" s="841"/>
      <c r="G2137" s="841"/>
      <c r="H2137" s="840">
        <f t="shared" si="66"/>
        <v>0</v>
      </c>
      <c r="I2137" s="840">
        <f t="shared" si="67"/>
        <v>90000</v>
      </c>
    </row>
    <row r="2138" spans="1:9" ht="93.75">
      <c r="A2138" s="1081"/>
      <c r="B2138" s="475" t="s">
        <v>1330</v>
      </c>
      <c r="C2138" s="530">
        <v>35000</v>
      </c>
      <c r="D2138" s="530">
        <v>35000</v>
      </c>
      <c r="E2138" s="905"/>
      <c r="F2138" s="841"/>
      <c r="G2138" s="841"/>
      <c r="H2138" s="840">
        <f t="shared" si="66"/>
        <v>0</v>
      </c>
      <c r="I2138" s="840">
        <f t="shared" si="67"/>
        <v>70000</v>
      </c>
    </row>
    <row r="2139" spans="1:9" ht="37.5">
      <c r="A2139" s="1081"/>
      <c r="B2139" s="475" t="s">
        <v>1907</v>
      </c>
      <c r="C2139" s="911">
        <v>89000</v>
      </c>
      <c r="D2139" s="911"/>
      <c r="E2139" s="911">
        <v>89000</v>
      </c>
      <c r="F2139" s="841"/>
      <c r="G2139" s="841"/>
      <c r="H2139" s="840">
        <f t="shared" si="66"/>
        <v>0</v>
      </c>
      <c r="I2139" s="840">
        <f t="shared" si="67"/>
        <v>178000</v>
      </c>
    </row>
    <row r="2140" spans="1:9" ht="75">
      <c r="A2140" s="1081"/>
      <c r="B2140" s="475" t="s">
        <v>2098</v>
      </c>
      <c r="C2140" s="908">
        <v>20000</v>
      </c>
      <c r="D2140" s="908">
        <v>20000</v>
      </c>
      <c r="E2140" s="905"/>
      <c r="F2140" s="841"/>
      <c r="G2140" s="841"/>
      <c r="H2140" s="840">
        <f t="shared" si="66"/>
        <v>0</v>
      </c>
      <c r="I2140" s="840">
        <f t="shared" si="67"/>
        <v>40000</v>
      </c>
    </row>
    <row r="2141" spans="1:9" ht="37.5">
      <c r="A2141" s="1081"/>
      <c r="B2141" s="475" t="s">
        <v>2099</v>
      </c>
      <c r="C2141" s="905">
        <v>25000</v>
      </c>
      <c r="D2141" s="905"/>
      <c r="E2141" s="905">
        <v>25000</v>
      </c>
      <c r="F2141" s="841"/>
      <c r="G2141" s="841"/>
      <c r="H2141" s="840">
        <f t="shared" si="66"/>
        <v>0</v>
      </c>
      <c r="I2141" s="840">
        <f t="shared" si="67"/>
        <v>50000</v>
      </c>
    </row>
    <row r="2142" spans="1:9" ht="56.25">
      <c r="A2142" s="1081"/>
      <c r="B2142" s="475" t="s">
        <v>2587</v>
      </c>
      <c r="C2142" s="905">
        <v>50000</v>
      </c>
      <c r="D2142" s="905">
        <v>50000</v>
      </c>
      <c r="E2142" s="905"/>
      <c r="F2142" s="841"/>
      <c r="G2142" s="841"/>
      <c r="H2142" s="840">
        <f t="shared" si="66"/>
        <v>0</v>
      </c>
      <c r="I2142" s="840">
        <f t="shared" si="67"/>
        <v>100000</v>
      </c>
    </row>
    <row r="2143" spans="1:9" s="302" customFormat="1" ht="37.5">
      <c r="A2143" s="1068"/>
      <c r="B2143" s="475" t="s">
        <v>2815</v>
      </c>
      <c r="C2143" s="908">
        <v>20000</v>
      </c>
      <c r="D2143" s="908"/>
      <c r="E2143" s="905">
        <v>20000</v>
      </c>
      <c r="F2143" s="841"/>
      <c r="G2143" s="841"/>
      <c r="H2143" s="840">
        <f t="shared" si="66"/>
        <v>0</v>
      </c>
      <c r="I2143" s="840">
        <f t="shared" si="67"/>
        <v>40000</v>
      </c>
    </row>
    <row r="2144" spans="1:9" s="302" customFormat="1" hidden="1">
      <c r="A2144" s="1068"/>
      <c r="B2144" s="475"/>
      <c r="C2144" s="916"/>
      <c r="D2144" s="916"/>
      <c r="E2144" s="905"/>
      <c r="F2144" s="841"/>
      <c r="G2144" s="841"/>
      <c r="H2144" s="840">
        <f t="shared" si="66"/>
        <v>0</v>
      </c>
      <c r="I2144" s="840">
        <f t="shared" si="67"/>
        <v>0</v>
      </c>
    </row>
    <row r="2145" spans="1:9" s="302" customFormat="1" hidden="1">
      <c r="A2145" s="1068"/>
      <c r="B2145" s="475"/>
      <c r="C2145" s="916"/>
      <c r="D2145" s="916"/>
      <c r="E2145" s="905"/>
      <c r="F2145" s="841"/>
      <c r="G2145" s="841"/>
      <c r="H2145" s="840">
        <f t="shared" si="66"/>
        <v>0</v>
      </c>
      <c r="I2145" s="840">
        <f t="shared" si="67"/>
        <v>0</v>
      </c>
    </row>
    <row r="2146" spans="1:9" s="302" customFormat="1" hidden="1">
      <c r="A2146" s="1068"/>
      <c r="B2146" s="475"/>
      <c r="C2146" s="905"/>
      <c r="D2146" s="905"/>
      <c r="E2146" s="905"/>
      <c r="F2146" s="841"/>
      <c r="G2146" s="841"/>
      <c r="H2146" s="840">
        <f t="shared" si="66"/>
        <v>0</v>
      </c>
      <c r="I2146" s="840">
        <f t="shared" si="67"/>
        <v>0</v>
      </c>
    </row>
    <row r="2147" spans="1:9" s="302" customFormat="1" hidden="1">
      <c r="A2147" s="1068"/>
      <c r="B2147" s="475"/>
      <c r="C2147" s="916"/>
      <c r="D2147" s="916"/>
      <c r="E2147" s="905"/>
      <c r="F2147" s="841"/>
      <c r="G2147" s="841"/>
      <c r="H2147" s="840">
        <f t="shared" si="66"/>
        <v>0</v>
      </c>
      <c r="I2147" s="840">
        <f t="shared" si="67"/>
        <v>0</v>
      </c>
    </row>
    <row r="2148" spans="1:9" s="302" customFormat="1" hidden="1">
      <c r="A2148" s="1068"/>
      <c r="B2148" s="475"/>
      <c r="C2148" s="916"/>
      <c r="D2148" s="916"/>
      <c r="E2148" s="905"/>
      <c r="F2148" s="841"/>
      <c r="G2148" s="841"/>
      <c r="H2148" s="840">
        <f t="shared" si="66"/>
        <v>0</v>
      </c>
      <c r="I2148" s="840">
        <f t="shared" si="67"/>
        <v>0</v>
      </c>
    </row>
    <row r="2149" spans="1:9" s="302" customFormat="1" hidden="1">
      <c r="A2149" s="1068"/>
      <c r="B2149" s="475"/>
      <c r="C2149" s="916"/>
      <c r="D2149" s="916"/>
      <c r="E2149" s="905"/>
      <c r="F2149" s="841"/>
      <c r="G2149" s="841"/>
      <c r="H2149" s="840">
        <f t="shared" si="66"/>
        <v>0</v>
      </c>
      <c r="I2149" s="840">
        <f t="shared" si="67"/>
        <v>0</v>
      </c>
    </row>
    <row r="2150" spans="1:9" s="302" customFormat="1" hidden="1">
      <c r="A2150" s="1068"/>
      <c r="B2150" s="475"/>
      <c r="C2150" s="916"/>
      <c r="D2150" s="916"/>
      <c r="E2150" s="905"/>
      <c r="F2150" s="841"/>
      <c r="G2150" s="841"/>
      <c r="H2150" s="840">
        <f t="shared" si="66"/>
        <v>0</v>
      </c>
      <c r="I2150" s="840">
        <f t="shared" si="67"/>
        <v>0</v>
      </c>
    </row>
    <row r="2151" spans="1:9" s="302" customFormat="1" hidden="1">
      <c r="A2151" s="1068"/>
      <c r="B2151" s="475"/>
      <c r="C2151" s="916"/>
      <c r="D2151" s="916"/>
      <c r="E2151" s="905"/>
      <c r="F2151" s="841"/>
      <c r="G2151" s="841"/>
      <c r="H2151" s="840">
        <f t="shared" si="66"/>
        <v>0</v>
      </c>
      <c r="I2151" s="840">
        <f t="shared" si="67"/>
        <v>0</v>
      </c>
    </row>
    <row r="2152" spans="1:9" s="302" customFormat="1" hidden="1">
      <c r="A2152" s="1068"/>
      <c r="B2152" s="475"/>
      <c r="C2152" s="916"/>
      <c r="D2152" s="916"/>
      <c r="E2152" s="905"/>
      <c r="F2152" s="841"/>
      <c r="G2152" s="841"/>
      <c r="H2152" s="840">
        <f t="shared" si="66"/>
        <v>0</v>
      </c>
      <c r="I2152" s="840">
        <f t="shared" si="67"/>
        <v>0</v>
      </c>
    </row>
    <row r="2153" spans="1:9" s="302" customFormat="1" hidden="1">
      <c r="A2153" s="1068"/>
      <c r="B2153" s="475"/>
      <c r="C2153" s="905"/>
      <c r="D2153" s="905"/>
      <c r="E2153" s="905"/>
      <c r="F2153" s="841"/>
      <c r="G2153" s="841"/>
      <c r="H2153" s="840">
        <f t="shared" si="66"/>
        <v>0</v>
      </c>
      <c r="I2153" s="840">
        <f t="shared" si="67"/>
        <v>0</v>
      </c>
    </row>
    <row r="2154" spans="1:9" s="302" customFormat="1" hidden="1">
      <c r="A2154" s="1068"/>
      <c r="B2154" s="475"/>
      <c r="C2154" s="905"/>
      <c r="D2154" s="905"/>
      <c r="E2154" s="905"/>
      <c r="F2154" s="841"/>
      <c r="G2154" s="841"/>
      <c r="H2154" s="840">
        <f t="shared" si="66"/>
        <v>0</v>
      </c>
      <c r="I2154" s="840">
        <f t="shared" si="67"/>
        <v>0</v>
      </c>
    </row>
    <row r="2155" spans="1:9" s="302" customFormat="1" hidden="1">
      <c r="A2155" s="1068"/>
      <c r="B2155" s="475"/>
      <c r="C2155" s="916"/>
      <c r="D2155" s="916"/>
      <c r="E2155" s="905"/>
      <c r="F2155" s="841"/>
      <c r="G2155" s="841"/>
      <c r="H2155" s="840">
        <f t="shared" si="66"/>
        <v>0</v>
      </c>
      <c r="I2155" s="840">
        <f t="shared" si="67"/>
        <v>0</v>
      </c>
    </row>
    <row r="2156" spans="1:9" s="302" customFormat="1" hidden="1">
      <c r="A2156" s="1068"/>
      <c r="B2156" s="475"/>
      <c r="C2156" s="916"/>
      <c r="D2156" s="916"/>
      <c r="E2156" s="905"/>
      <c r="F2156" s="841"/>
      <c r="G2156" s="841"/>
      <c r="H2156" s="840">
        <f t="shared" si="66"/>
        <v>0</v>
      </c>
      <c r="I2156" s="840">
        <f t="shared" si="67"/>
        <v>0</v>
      </c>
    </row>
    <row r="2157" spans="1:9" s="302" customFormat="1" hidden="1">
      <c r="A2157" s="1068"/>
      <c r="B2157" s="475"/>
      <c r="C2157" s="916"/>
      <c r="D2157" s="916"/>
      <c r="E2157" s="905"/>
      <c r="F2157" s="841"/>
      <c r="G2157" s="841"/>
      <c r="H2157" s="840">
        <f t="shared" si="66"/>
        <v>0</v>
      </c>
      <c r="I2157" s="840">
        <f t="shared" si="67"/>
        <v>0</v>
      </c>
    </row>
    <row r="2158" spans="1:9" s="302" customFormat="1" hidden="1">
      <c r="A2158" s="1068"/>
      <c r="B2158" s="475"/>
      <c r="C2158" s="916"/>
      <c r="D2158" s="916"/>
      <c r="E2158" s="905"/>
      <c r="F2158" s="841"/>
      <c r="G2158" s="841"/>
      <c r="H2158" s="840">
        <f t="shared" si="66"/>
        <v>0</v>
      </c>
      <c r="I2158" s="840">
        <f t="shared" si="67"/>
        <v>0</v>
      </c>
    </row>
    <row r="2159" spans="1:9" s="302" customFormat="1" hidden="1">
      <c r="A2159" s="1068"/>
      <c r="B2159" s="475"/>
      <c r="C2159" s="916"/>
      <c r="D2159" s="916"/>
      <c r="E2159" s="905"/>
      <c r="F2159" s="841"/>
      <c r="G2159" s="841"/>
      <c r="H2159" s="840">
        <f t="shared" si="66"/>
        <v>0</v>
      </c>
      <c r="I2159" s="840">
        <f t="shared" si="67"/>
        <v>0</v>
      </c>
    </row>
    <row r="2160" spans="1:9" s="302" customFormat="1" hidden="1">
      <c r="A2160" s="1068"/>
      <c r="B2160" s="475"/>
      <c r="C2160" s="916"/>
      <c r="D2160" s="916"/>
      <c r="E2160" s="905"/>
      <c r="F2160" s="841"/>
      <c r="G2160" s="841"/>
      <c r="H2160" s="840">
        <f t="shared" si="66"/>
        <v>0</v>
      </c>
      <c r="I2160" s="840">
        <f t="shared" si="67"/>
        <v>0</v>
      </c>
    </row>
    <row r="2161" spans="1:9" s="302" customFormat="1" hidden="1">
      <c r="A2161" s="1068"/>
      <c r="B2161" s="475"/>
      <c r="C2161" s="905"/>
      <c r="D2161" s="905"/>
      <c r="E2161" s="905"/>
      <c r="F2161" s="841"/>
      <c r="G2161" s="841"/>
      <c r="H2161" s="840">
        <f t="shared" si="66"/>
        <v>0</v>
      </c>
      <c r="I2161" s="840">
        <f t="shared" si="67"/>
        <v>0</v>
      </c>
    </row>
    <row r="2162" spans="1:9" s="302" customFormat="1" hidden="1">
      <c r="A2162" s="1068"/>
      <c r="B2162" s="900"/>
      <c r="C2162" s="938"/>
      <c r="D2162" s="938"/>
      <c r="E2162" s="939"/>
      <c r="F2162" s="841"/>
      <c r="G2162" s="841"/>
      <c r="H2162" s="840">
        <f t="shared" si="66"/>
        <v>0</v>
      </c>
      <c r="I2162" s="840">
        <f t="shared" si="67"/>
        <v>0</v>
      </c>
    </row>
    <row r="2163" spans="1:9" s="302" customFormat="1" hidden="1">
      <c r="A2163" s="1068"/>
      <c r="B2163" s="475"/>
      <c r="C2163" s="916"/>
      <c r="D2163" s="916"/>
      <c r="E2163" s="905"/>
      <c r="F2163" s="841"/>
      <c r="G2163" s="841"/>
      <c r="H2163" s="840">
        <f t="shared" si="66"/>
        <v>0</v>
      </c>
      <c r="I2163" s="840">
        <f t="shared" si="67"/>
        <v>0</v>
      </c>
    </row>
    <row r="2164" spans="1:9" s="302" customFormat="1" hidden="1">
      <c r="A2164" s="1068"/>
      <c r="B2164" s="475"/>
      <c r="C2164" s="916"/>
      <c r="D2164" s="916"/>
      <c r="E2164" s="905"/>
      <c r="F2164" s="841"/>
      <c r="G2164" s="841"/>
      <c r="H2164" s="840">
        <f t="shared" si="66"/>
        <v>0</v>
      </c>
      <c r="I2164" s="840">
        <f t="shared" si="67"/>
        <v>0</v>
      </c>
    </row>
    <row r="2165" spans="1:9" s="302" customFormat="1" hidden="1">
      <c r="A2165" s="1068"/>
      <c r="B2165" s="475"/>
      <c r="C2165" s="916"/>
      <c r="D2165" s="916"/>
      <c r="E2165" s="905"/>
      <c r="F2165" s="841"/>
      <c r="G2165" s="841"/>
      <c r="H2165" s="840">
        <f t="shared" si="66"/>
        <v>0</v>
      </c>
      <c r="I2165" s="840">
        <f t="shared" si="67"/>
        <v>0</v>
      </c>
    </row>
    <row r="2166" spans="1:9" s="302" customFormat="1" hidden="1">
      <c r="A2166" s="1068"/>
      <c r="B2166" s="475"/>
      <c r="C2166" s="916"/>
      <c r="D2166" s="916"/>
      <c r="E2166" s="905"/>
      <c r="F2166" s="841"/>
      <c r="G2166" s="841"/>
      <c r="H2166" s="840">
        <f t="shared" si="66"/>
        <v>0</v>
      </c>
      <c r="I2166" s="840">
        <f t="shared" si="67"/>
        <v>0</v>
      </c>
    </row>
    <row r="2167" spans="1:9" s="302" customFormat="1" hidden="1">
      <c r="A2167" s="1068"/>
      <c r="B2167" s="475"/>
      <c r="C2167" s="916"/>
      <c r="D2167" s="916"/>
      <c r="E2167" s="905"/>
      <c r="F2167" s="841"/>
      <c r="G2167" s="841"/>
      <c r="H2167" s="840">
        <f t="shared" si="66"/>
        <v>0</v>
      </c>
      <c r="I2167" s="840">
        <f t="shared" si="67"/>
        <v>0</v>
      </c>
    </row>
    <row r="2168" spans="1:9" s="302" customFormat="1" hidden="1">
      <c r="A2168" s="1068"/>
      <c r="B2168" s="475"/>
      <c r="C2168" s="916"/>
      <c r="D2168" s="916"/>
      <c r="E2168" s="905"/>
      <c r="F2168" s="841"/>
      <c r="G2168" s="841"/>
      <c r="H2168" s="840">
        <f t="shared" si="66"/>
        <v>0</v>
      </c>
      <c r="I2168" s="840">
        <f t="shared" si="67"/>
        <v>0</v>
      </c>
    </row>
    <row r="2169" spans="1:9" s="302" customFormat="1" hidden="1">
      <c r="A2169" s="1068"/>
      <c r="B2169" s="475"/>
      <c r="C2169" s="916"/>
      <c r="D2169" s="916"/>
      <c r="E2169" s="905"/>
      <c r="F2169" s="841"/>
      <c r="G2169" s="841"/>
      <c r="H2169" s="840">
        <f t="shared" si="66"/>
        <v>0</v>
      </c>
      <c r="I2169" s="840">
        <f t="shared" si="67"/>
        <v>0</v>
      </c>
    </row>
    <row r="2170" spans="1:9" s="302" customFormat="1" hidden="1">
      <c r="A2170" s="1068"/>
      <c r="B2170" s="475"/>
      <c r="C2170" s="916"/>
      <c r="D2170" s="916"/>
      <c r="E2170" s="905"/>
      <c r="F2170" s="841"/>
      <c r="G2170" s="841"/>
      <c r="H2170" s="840">
        <f t="shared" si="66"/>
        <v>0</v>
      </c>
      <c r="I2170" s="840">
        <f t="shared" si="67"/>
        <v>0</v>
      </c>
    </row>
    <row r="2171" spans="1:9" s="302" customFormat="1" hidden="1">
      <c r="A2171" s="1068"/>
      <c r="B2171" s="475"/>
      <c r="C2171" s="916"/>
      <c r="D2171" s="916"/>
      <c r="E2171" s="905"/>
      <c r="F2171" s="841"/>
      <c r="G2171" s="841"/>
      <c r="H2171" s="840">
        <f t="shared" si="66"/>
        <v>0</v>
      </c>
      <c r="I2171" s="840">
        <f t="shared" si="67"/>
        <v>0</v>
      </c>
    </row>
    <row r="2172" spans="1:9" s="302" customFormat="1" hidden="1">
      <c r="A2172" s="1068"/>
      <c r="B2172" s="475"/>
      <c r="C2172" s="916"/>
      <c r="D2172" s="916"/>
      <c r="E2172" s="905"/>
      <c r="F2172" s="841"/>
      <c r="G2172" s="841"/>
      <c r="H2172" s="840">
        <f t="shared" si="66"/>
        <v>0</v>
      </c>
      <c r="I2172" s="840">
        <f t="shared" si="67"/>
        <v>0</v>
      </c>
    </row>
    <row r="2173" spans="1:9" s="302" customFormat="1" hidden="1">
      <c r="A2173" s="1068"/>
      <c r="B2173" s="475"/>
      <c r="C2173" s="916"/>
      <c r="D2173" s="916"/>
      <c r="E2173" s="905"/>
      <c r="F2173" s="841"/>
      <c r="G2173" s="841"/>
      <c r="H2173" s="840">
        <f t="shared" si="66"/>
        <v>0</v>
      </c>
      <c r="I2173" s="840">
        <f t="shared" si="67"/>
        <v>0</v>
      </c>
    </row>
    <row r="2174" spans="1:9" s="302" customFormat="1" hidden="1">
      <c r="A2174" s="1068"/>
      <c r="B2174" s="475"/>
      <c r="C2174" s="905"/>
      <c r="D2174" s="905"/>
      <c r="E2174" s="905"/>
      <c r="F2174" s="841"/>
      <c r="G2174" s="841"/>
      <c r="H2174" s="840">
        <f t="shared" si="66"/>
        <v>0</v>
      </c>
      <c r="I2174" s="840">
        <f t="shared" si="67"/>
        <v>0</v>
      </c>
    </row>
    <row r="2175" spans="1:9" s="302" customFormat="1" hidden="1">
      <c r="A2175" s="1068"/>
      <c r="B2175" s="475"/>
      <c r="C2175" s="905"/>
      <c r="D2175" s="905"/>
      <c r="E2175" s="905"/>
      <c r="F2175" s="841"/>
      <c r="G2175" s="841"/>
      <c r="H2175" s="840">
        <f t="shared" si="66"/>
        <v>0</v>
      </c>
      <c r="I2175" s="840">
        <f t="shared" si="67"/>
        <v>0</v>
      </c>
    </row>
    <row r="2176" spans="1:9" s="302" customFormat="1" hidden="1">
      <c r="A2176" s="1068"/>
      <c r="B2176" s="475"/>
      <c r="C2176" s="905"/>
      <c r="D2176" s="905"/>
      <c r="E2176" s="905"/>
      <c r="F2176" s="841"/>
      <c r="G2176" s="841"/>
      <c r="H2176" s="840">
        <f t="shared" si="66"/>
        <v>0</v>
      </c>
      <c r="I2176" s="840">
        <f t="shared" si="67"/>
        <v>0</v>
      </c>
    </row>
    <row r="2177" spans="1:9" s="302" customFormat="1" hidden="1">
      <c r="A2177" s="1068"/>
      <c r="B2177" s="895"/>
      <c r="C2177" s="905"/>
      <c r="D2177" s="905"/>
      <c r="E2177" s="905"/>
      <c r="F2177" s="841"/>
      <c r="G2177" s="841"/>
      <c r="H2177" s="840">
        <f t="shared" si="66"/>
        <v>0</v>
      </c>
      <c r="I2177" s="840">
        <f t="shared" si="67"/>
        <v>0</v>
      </c>
    </row>
    <row r="2178" spans="1:9" s="302" customFormat="1" hidden="1">
      <c r="A2178" s="1068"/>
      <c r="B2178" s="475"/>
      <c r="C2178" s="916"/>
      <c r="D2178" s="916"/>
      <c r="E2178" s="905"/>
      <c r="F2178" s="841"/>
      <c r="G2178" s="841"/>
      <c r="H2178" s="840">
        <f t="shared" si="66"/>
        <v>0</v>
      </c>
      <c r="I2178" s="840">
        <f t="shared" si="67"/>
        <v>0</v>
      </c>
    </row>
    <row r="2179" spans="1:9" s="302" customFormat="1" hidden="1">
      <c r="A2179" s="1068"/>
      <c r="B2179" s="475"/>
      <c r="C2179" s="916"/>
      <c r="D2179" s="916"/>
      <c r="E2179" s="905"/>
      <c r="F2179" s="841"/>
      <c r="G2179" s="841"/>
      <c r="H2179" s="840">
        <f t="shared" si="66"/>
        <v>0</v>
      </c>
      <c r="I2179" s="840">
        <f t="shared" si="67"/>
        <v>0</v>
      </c>
    </row>
    <row r="2180" spans="1:9" s="302" customFormat="1" hidden="1">
      <c r="A2180" s="1068"/>
      <c r="B2180" s="475"/>
      <c r="C2180" s="916"/>
      <c r="D2180" s="916"/>
      <c r="E2180" s="905"/>
      <c r="F2180" s="841"/>
      <c r="G2180" s="841"/>
      <c r="H2180" s="840">
        <f t="shared" si="66"/>
        <v>0</v>
      </c>
      <c r="I2180" s="840">
        <f t="shared" si="67"/>
        <v>0</v>
      </c>
    </row>
    <row r="2181" spans="1:9" s="302" customFormat="1" hidden="1">
      <c r="A2181" s="1068"/>
      <c r="B2181" s="475"/>
      <c r="C2181" s="916"/>
      <c r="D2181" s="916"/>
      <c r="E2181" s="905"/>
      <c r="F2181" s="841"/>
      <c r="G2181" s="841"/>
      <c r="H2181" s="840">
        <f t="shared" si="66"/>
        <v>0</v>
      </c>
      <c r="I2181" s="840">
        <f t="shared" si="67"/>
        <v>0</v>
      </c>
    </row>
    <row r="2182" spans="1:9" s="302" customFormat="1" hidden="1">
      <c r="A2182" s="1068"/>
      <c r="B2182" s="475"/>
      <c r="C2182" s="916"/>
      <c r="D2182" s="916"/>
      <c r="E2182" s="905"/>
      <c r="F2182" s="841"/>
      <c r="G2182" s="841"/>
      <c r="H2182" s="840">
        <f t="shared" si="66"/>
        <v>0</v>
      </c>
      <c r="I2182" s="840">
        <f t="shared" si="67"/>
        <v>0</v>
      </c>
    </row>
    <row r="2183" spans="1:9" s="302" customFormat="1" hidden="1">
      <c r="A2183" s="1068"/>
      <c r="B2183" s="475"/>
      <c r="C2183" s="916"/>
      <c r="D2183" s="916"/>
      <c r="E2183" s="905"/>
      <c r="F2183" s="841"/>
      <c r="G2183" s="841"/>
      <c r="H2183" s="840">
        <f t="shared" si="66"/>
        <v>0</v>
      </c>
      <c r="I2183" s="840">
        <f t="shared" si="67"/>
        <v>0</v>
      </c>
    </row>
    <row r="2184" spans="1:9" s="302" customFormat="1" hidden="1">
      <c r="A2184" s="1068"/>
      <c r="B2184" s="475"/>
      <c r="C2184" s="916"/>
      <c r="D2184" s="916"/>
      <c r="E2184" s="905"/>
      <c r="F2184" s="841"/>
      <c r="G2184" s="841"/>
      <c r="H2184" s="840">
        <f t="shared" si="66"/>
        <v>0</v>
      </c>
      <c r="I2184" s="840">
        <f t="shared" si="67"/>
        <v>0</v>
      </c>
    </row>
    <row r="2185" spans="1:9" s="302" customFormat="1" hidden="1">
      <c r="A2185" s="1068"/>
      <c r="B2185" s="475"/>
      <c r="C2185" s="916"/>
      <c r="D2185" s="916"/>
      <c r="E2185" s="905"/>
      <c r="F2185" s="841"/>
      <c r="G2185" s="841"/>
      <c r="H2185" s="840">
        <f t="shared" ref="H2185:H2248" si="68">E2185+D2185-C2185</f>
        <v>0</v>
      </c>
      <c r="I2185" s="840">
        <f t="shared" ref="I2185:I2248" si="69">SUM(C2185:E2185)</f>
        <v>0</v>
      </c>
    </row>
    <row r="2186" spans="1:9" s="302" customFormat="1" hidden="1">
      <c r="A2186" s="1068"/>
      <c r="B2186" s="475"/>
      <c r="C2186" s="916"/>
      <c r="D2186" s="916"/>
      <c r="E2186" s="905"/>
      <c r="F2186" s="841"/>
      <c r="G2186" s="841"/>
      <c r="H2186" s="840">
        <f t="shared" si="68"/>
        <v>0</v>
      </c>
      <c r="I2186" s="840">
        <f t="shared" si="69"/>
        <v>0</v>
      </c>
    </row>
    <row r="2187" spans="1:9" s="302" customFormat="1" hidden="1">
      <c r="A2187" s="1068"/>
      <c r="B2187" s="475"/>
      <c r="C2187" s="916"/>
      <c r="D2187" s="916"/>
      <c r="E2187" s="905"/>
      <c r="F2187" s="841"/>
      <c r="G2187" s="841"/>
      <c r="H2187" s="840">
        <f t="shared" si="68"/>
        <v>0</v>
      </c>
      <c r="I2187" s="840">
        <f t="shared" si="69"/>
        <v>0</v>
      </c>
    </row>
    <row r="2188" spans="1:9" s="302" customFormat="1" hidden="1">
      <c r="A2188" s="1068"/>
      <c r="B2188" s="475"/>
      <c r="C2188" s="916"/>
      <c r="D2188" s="916"/>
      <c r="E2188" s="905"/>
      <c r="F2188" s="841"/>
      <c r="G2188" s="841"/>
      <c r="H2188" s="840">
        <f t="shared" si="68"/>
        <v>0</v>
      </c>
      <c r="I2188" s="840">
        <f t="shared" si="69"/>
        <v>0</v>
      </c>
    </row>
    <row r="2189" spans="1:9" s="302" customFormat="1" hidden="1">
      <c r="A2189" s="1068"/>
      <c r="B2189" s="475"/>
      <c r="C2189" s="916"/>
      <c r="D2189" s="916"/>
      <c r="E2189" s="905"/>
      <c r="F2189" s="841"/>
      <c r="G2189" s="841"/>
      <c r="H2189" s="840">
        <f t="shared" si="68"/>
        <v>0</v>
      </c>
      <c r="I2189" s="840">
        <f t="shared" si="69"/>
        <v>0</v>
      </c>
    </row>
    <row r="2190" spans="1:9" s="302" customFormat="1" hidden="1">
      <c r="A2190" s="1068"/>
      <c r="B2190" s="475"/>
      <c r="C2190" s="916"/>
      <c r="D2190" s="916"/>
      <c r="E2190" s="905"/>
      <c r="F2190" s="841"/>
      <c r="G2190" s="841"/>
      <c r="H2190" s="840">
        <f t="shared" si="68"/>
        <v>0</v>
      </c>
      <c r="I2190" s="840">
        <f t="shared" si="69"/>
        <v>0</v>
      </c>
    </row>
    <row r="2191" spans="1:9" s="302" customFormat="1" hidden="1">
      <c r="A2191" s="1068"/>
      <c r="B2191" s="475"/>
      <c r="C2191" s="916"/>
      <c r="D2191" s="916"/>
      <c r="E2191" s="905"/>
      <c r="F2191" s="841"/>
      <c r="G2191" s="841"/>
      <c r="H2191" s="840">
        <f t="shared" si="68"/>
        <v>0</v>
      </c>
      <c r="I2191" s="840">
        <f t="shared" si="69"/>
        <v>0</v>
      </c>
    </row>
    <row r="2192" spans="1:9" s="302" customFormat="1" hidden="1">
      <c r="A2192" s="1068"/>
      <c r="B2192" s="475"/>
      <c r="C2192" s="916"/>
      <c r="D2192" s="916"/>
      <c r="E2192" s="905"/>
      <c r="F2192" s="841"/>
      <c r="G2192" s="841"/>
      <c r="H2192" s="840">
        <f t="shared" si="68"/>
        <v>0</v>
      </c>
      <c r="I2192" s="840">
        <f t="shared" si="69"/>
        <v>0</v>
      </c>
    </row>
    <row r="2193" spans="1:9" s="302" customFormat="1" hidden="1">
      <c r="A2193" s="1071"/>
      <c r="B2193" s="475"/>
      <c r="C2193" s="916"/>
      <c r="D2193" s="916"/>
      <c r="E2193" s="905"/>
      <c r="F2193" s="841"/>
      <c r="G2193" s="841"/>
      <c r="H2193" s="840">
        <f t="shared" si="68"/>
        <v>0</v>
      </c>
      <c r="I2193" s="840">
        <f t="shared" si="69"/>
        <v>0</v>
      </c>
    </row>
    <row r="2194" spans="1:9" s="302" customFormat="1" hidden="1">
      <c r="A2194" s="1071"/>
      <c r="B2194" s="475"/>
      <c r="C2194" s="916"/>
      <c r="D2194" s="916"/>
      <c r="E2194" s="905"/>
      <c r="F2194" s="841"/>
      <c r="G2194" s="841"/>
      <c r="H2194" s="840">
        <f t="shared" si="68"/>
        <v>0</v>
      </c>
      <c r="I2194" s="840">
        <f t="shared" si="69"/>
        <v>0</v>
      </c>
    </row>
    <row r="2195" spans="1:9" s="302" customFormat="1" hidden="1">
      <c r="A2195" s="1071"/>
      <c r="B2195" s="475"/>
      <c r="C2195" s="905"/>
      <c r="D2195" s="931"/>
      <c r="E2195" s="931"/>
      <c r="F2195" s="841"/>
      <c r="G2195" s="841"/>
      <c r="H2195" s="840">
        <f t="shared" si="68"/>
        <v>0</v>
      </c>
      <c r="I2195" s="840">
        <f t="shared" si="69"/>
        <v>0</v>
      </c>
    </row>
    <row r="2196" spans="1:9" s="302" customFormat="1" hidden="1">
      <c r="A2196" s="1071"/>
      <c r="B2196" s="475"/>
      <c r="C2196" s="905"/>
      <c r="D2196" s="931"/>
      <c r="E2196" s="931"/>
      <c r="F2196" s="841"/>
      <c r="G2196" s="841"/>
      <c r="H2196" s="840">
        <f t="shared" si="68"/>
        <v>0</v>
      </c>
      <c r="I2196" s="840">
        <f t="shared" si="69"/>
        <v>0</v>
      </c>
    </row>
    <row r="2197" spans="1:9" s="302" customFormat="1" hidden="1">
      <c r="A2197" s="1071"/>
      <c r="B2197" s="475"/>
      <c r="C2197" s="905"/>
      <c r="D2197" s="931"/>
      <c r="E2197" s="931"/>
      <c r="F2197" s="841"/>
      <c r="G2197" s="841"/>
      <c r="H2197" s="840">
        <f t="shared" si="68"/>
        <v>0</v>
      </c>
      <c r="I2197" s="840">
        <f t="shared" si="69"/>
        <v>0</v>
      </c>
    </row>
    <row r="2198" spans="1:9" s="302" customFormat="1" hidden="1">
      <c r="A2198" s="1071"/>
      <c r="B2198" s="475"/>
      <c r="C2198" s="905"/>
      <c r="D2198" s="931"/>
      <c r="E2198" s="931"/>
      <c r="F2198" s="841"/>
      <c r="G2198" s="841"/>
      <c r="H2198" s="840">
        <f t="shared" si="68"/>
        <v>0</v>
      </c>
      <c r="I2198" s="840">
        <f t="shared" si="69"/>
        <v>0</v>
      </c>
    </row>
    <row r="2199" spans="1:9" s="302" customFormat="1" hidden="1">
      <c r="A2199" s="1071"/>
      <c r="B2199" s="475"/>
      <c r="C2199" s="916"/>
      <c r="D2199" s="916"/>
      <c r="E2199" s="905"/>
      <c r="F2199" s="841"/>
      <c r="G2199" s="841"/>
      <c r="H2199" s="840">
        <f t="shared" si="68"/>
        <v>0</v>
      </c>
      <c r="I2199" s="840">
        <f t="shared" si="69"/>
        <v>0</v>
      </c>
    </row>
    <row r="2200" spans="1:9" s="302" customFormat="1" hidden="1">
      <c r="A2200" s="1071"/>
      <c r="B2200" s="475"/>
      <c r="C2200" s="916"/>
      <c r="D2200" s="916"/>
      <c r="E2200" s="905"/>
      <c r="F2200" s="841"/>
      <c r="G2200" s="841"/>
      <c r="H2200" s="840">
        <f t="shared" si="68"/>
        <v>0</v>
      </c>
      <c r="I2200" s="840">
        <f t="shared" si="69"/>
        <v>0</v>
      </c>
    </row>
    <row r="2201" spans="1:9" s="302" customFormat="1" hidden="1">
      <c r="A2201" s="1071"/>
      <c r="B2201" s="475"/>
      <c r="C2201" s="916"/>
      <c r="D2201" s="916"/>
      <c r="E2201" s="905"/>
      <c r="F2201" s="841"/>
      <c r="G2201" s="841"/>
      <c r="H2201" s="840">
        <f t="shared" si="68"/>
        <v>0</v>
      </c>
      <c r="I2201" s="840">
        <f t="shared" si="69"/>
        <v>0</v>
      </c>
    </row>
    <row r="2202" spans="1:9" s="302" customFormat="1" hidden="1">
      <c r="A2202" s="1071"/>
      <c r="B2202" s="475"/>
      <c r="C2202" s="916"/>
      <c r="D2202" s="916"/>
      <c r="E2202" s="905"/>
      <c r="F2202" s="841"/>
      <c r="G2202" s="841"/>
      <c r="H2202" s="840">
        <f t="shared" si="68"/>
        <v>0</v>
      </c>
      <c r="I2202" s="840">
        <f t="shared" si="69"/>
        <v>0</v>
      </c>
    </row>
    <row r="2203" spans="1:9" s="302" customFormat="1" hidden="1">
      <c r="A2203" s="1071"/>
      <c r="B2203" s="475"/>
      <c r="C2203" s="916"/>
      <c r="D2203" s="916"/>
      <c r="E2203" s="905"/>
      <c r="F2203" s="841"/>
      <c r="G2203" s="841"/>
      <c r="H2203" s="840">
        <f t="shared" si="68"/>
        <v>0</v>
      </c>
      <c r="I2203" s="840">
        <f t="shared" si="69"/>
        <v>0</v>
      </c>
    </row>
    <row r="2204" spans="1:9" s="302" customFormat="1" hidden="1">
      <c r="A2204" s="1071"/>
      <c r="B2204" s="475"/>
      <c r="C2204" s="916"/>
      <c r="D2204" s="916"/>
      <c r="E2204" s="905"/>
      <c r="F2204" s="841"/>
      <c r="G2204" s="841"/>
      <c r="H2204" s="840">
        <f t="shared" si="68"/>
        <v>0</v>
      </c>
      <c r="I2204" s="840">
        <f t="shared" si="69"/>
        <v>0</v>
      </c>
    </row>
    <row r="2205" spans="1:9" s="302" customFormat="1" hidden="1">
      <c r="A2205" s="1071"/>
      <c r="B2205" s="475"/>
      <c r="C2205" s="916"/>
      <c r="D2205" s="916"/>
      <c r="E2205" s="905"/>
      <c r="F2205" s="841"/>
      <c r="G2205" s="841"/>
      <c r="H2205" s="840">
        <f t="shared" si="68"/>
        <v>0</v>
      </c>
      <c r="I2205" s="840">
        <f t="shared" si="69"/>
        <v>0</v>
      </c>
    </row>
    <row r="2206" spans="1:9" s="302" customFormat="1" ht="18" hidden="1" customHeight="1">
      <c r="A2206" s="1071"/>
      <c r="B2206" s="475"/>
      <c r="C2206" s="916"/>
      <c r="D2206" s="904"/>
      <c r="E2206" s="905"/>
      <c r="F2206" s="841"/>
      <c r="G2206" s="841"/>
      <c r="H2206" s="840">
        <f t="shared" si="68"/>
        <v>0</v>
      </c>
      <c r="I2206" s="840">
        <f t="shared" si="69"/>
        <v>0</v>
      </c>
    </row>
    <row r="2207" spans="1:9" s="302" customFormat="1" ht="18" hidden="1" customHeight="1">
      <c r="A2207" s="1071"/>
      <c r="B2207" s="475"/>
      <c r="C2207" s="916"/>
      <c r="D2207" s="904"/>
      <c r="E2207" s="905"/>
      <c r="F2207" s="841"/>
      <c r="G2207" s="841"/>
      <c r="H2207" s="840">
        <f t="shared" si="68"/>
        <v>0</v>
      </c>
      <c r="I2207" s="840">
        <f t="shared" si="69"/>
        <v>0</v>
      </c>
    </row>
    <row r="2208" spans="1:9" s="302" customFormat="1" ht="18" hidden="1" customHeight="1">
      <c r="A2208" s="1071"/>
      <c r="B2208" s="475"/>
      <c r="C2208" s="916"/>
      <c r="D2208" s="904"/>
      <c r="E2208" s="905"/>
      <c r="F2208" s="841"/>
      <c r="G2208" s="841"/>
      <c r="H2208" s="840">
        <f t="shared" si="68"/>
        <v>0</v>
      </c>
      <c r="I2208" s="840">
        <f t="shared" si="69"/>
        <v>0</v>
      </c>
    </row>
    <row r="2209" spans="1:9" s="302" customFormat="1" ht="18" hidden="1" customHeight="1">
      <c r="A2209" s="1071"/>
      <c r="B2209" s="475"/>
      <c r="C2209" s="916"/>
      <c r="D2209" s="904"/>
      <c r="E2209" s="905"/>
      <c r="F2209" s="841"/>
      <c r="G2209" s="841"/>
      <c r="H2209" s="840">
        <f t="shared" si="68"/>
        <v>0</v>
      </c>
      <c r="I2209" s="840">
        <f t="shared" si="69"/>
        <v>0</v>
      </c>
    </row>
    <row r="2210" spans="1:9" s="302" customFormat="1" ht="18" hidden="1" customHeight="1">
      <c r="A2210" s="1071"/>
      <c r="B2210" s="864"/>
      <c r="C2210" s="917"/>
      <c r="D2210" s="927"/>
      <c r="E2210" s="918"/>
      <c r="F2210" s="841"/>
      <c r="G2210" s="841"/>
      <c r="H2210" s="840">
        <f t="shared" si="68"/>
        <v>0</v>
      </c>
      <c r="I2210" s="840">
        <f t="shared" si="69"/>
        <v>0</v>
      </c>
    </row>
    <row r="2211" spans="1:9">
      <c r="A2211" s="1081"/>
      <c r="B2211" s="461" t="s">
        <v>253</v>
      </c>
      <c r="C2211" s="919">
        <f>SUM(C2133:C2210)</f>
        <v>399400</v>
      </c>
      <c r="D2211" s="919">
        <f>SUM(D2133:D2210)</f>
        <v>225400</v>
      </c>
      <c r="E2211" s="919">
        <f>SUM(E2133:E2210)</f>
        <v>174000</v>
      </c>
      <c r="F2211" s="850">
        <f>SUM(F2133:F2152)</f>
        <v>0</v>
      </c>
      <c r="G2211" s="851">
        <f>SUM(G2133:G2152)</f>
        <v>0</v>
      </c>
      <c r="H2211" s="840">
        <f t="shared" si="68"/>
        <v>0</v>
      </c>
      <c r="I2211" s="840">
        <f t="shared" si="69"/>
        <v>798800</v>
      </c>
    </row>
    <row r="2212" spans="1:9" ht="75">
      <c r="A2212" s="1081" t="s">
        <v>459</v>
      </c>
      <c r="B2212" s="887" t="s">
        <v>952</v>
      </c>
      <c r="C2212" s="530">
        <v>18500</v>
      </c>
      <c r="D2212" s="530">
        <v>18500</v>
      </c>
      <c r="E2212" s="905"/>
      <c r="F2212" s="854"/>
      <c r="G2212" s="854"/>
      <c r="H2212" s="840">
        <f t="shared" si="68"/>
        <v>0</v>
      </c>
      <c r="I2212" s="840">
        <f t="shared" si="69"/>
        <v>37000</v>
      </c>
    </row>
    <row r="2213" spans="1:9" ht="56.25">
      <c r="A2213" s="1081"/>
      <c r="B2213" s="475" t="s">
        <v>950</v>
      </c>
      <c r="C2213" s="530">
        <v>180000</v>
      </c>
      <c r="D2213" s="530"/>
      <c r="E2213" s="905">
        <v>180000</v>
      </c>
      <c r="F2213" s="841"/>
      <c r="G2213" s="841"/>
      <c r="H2213" s="840">
        <f t="shared" si="68"/>
        <v>0</v>
      </c>
      <c r="I2213" s="840">
        <f t="shared" si="69"/>
        <v>360000</v>
      </c>
    </row>
    <row r="2214" spans="1:9" ht="75">
      <c r="A2214" s="1081"/>
      <c r="B2214" s="864" t="s">
        <v>1090</v>
      </c>
      <c r="C2214" s="905">
        <v>596200</v>
      </c>
      <c r="D2214" s="905"/>
      <c r="E2214" s="905">
        <v>596200</v>
      </c>
      <c r="F2214" s="841"/>
      <c r="G2214" s="841"/>
      <c r="H2214" s="840">
        <f t="shared" si="68"/>
        <v>0</v>
      </c>
      <c r="I2214" s="840">
        <f t="shared" si="69"/>
        <v>1192400</v>
      </c>
    </row>
    <row r="2215" spans="1:9" ht="93.75">
      <c r="A2215" s="1081"/>
      <c r="B2215" s="475" t="s">
        <v>1331</v>
      </c>
      <c r="C2215" s="530">
        <v>28100</v>
      </c>
      <c r="D2215" s="530">
        <v>28100</v>
      </c>
      <c r="E2215" s="905"/>
      <c r="F2215" s="841"/>
      <c r="G2215" s="841"/>
      <c r="H2215" s="840">
        <f t="shared" si="68"/>
        <v>0</v>
      </c>
      <c r="I2215" s="840">
        <f t="shared" si="69"/>
        <v>56200</v>
      </c>
    </row>
    <row r="2216" spans="1:9" ht="75">
      <c r="A2216" s="1081"/>
      <c r="B2216" s="475" t="s">
        <v>1332</v>
      </c>
      <c r="C2216" s="530">
        <v>17790</v>
      </c>
      <c r="D2216" s="530">
        <v>17790</v>
      </c>
      <c r="E2216" s="905"/>
      <c r="F2216" s="841"/>
      <c r="G2216" s="841"/>
      <c r="H2216" s="840">
        <f t="shared" si="68"/>
        <v>0</v>
      </c>
      <c r="I2216" s="840">
        <f t="shared" si="69"/>
        <v>35580</v>
      </c>
    </row>
    <row r="2217" spans="1:9" ht="56.25">
      <c r="A2217" s="1081"/>
      <c r="B2217" s="475" t="s">
        <v>1333</v>
      </c>
      <c r="C2217" s="530">
        <v>37000</v>
      </c>
      <c r="D2217" s="530"/>
      <c r="E2217" s="905">
        <v>37000</v>
      </c>
      <c r="F2217" s="841"/>
      <c r="G2217" s="841"/>
      <c r="H2217" s="840">
        <f t="shared" si="68"/>
        <v>0</v>
      </c>
      <c r="I2217" s="840">
        <f t="shared" si="69"/>
        <v>74000</v>
      </c>
    </row>
    <row r="2218" spans="1:9" ht="56.25">
      <c r="A2218" s="1081"/>
      <c r="B2218" s="475" t="s">
        <v>1334</v>
      </c>
      <c r="C2218" s="530">
        <v>15000</v>
      </c>
      <c r="D2218" s="530"/>
      <c r="E2218" s="905">
        <v>15000</v>
      </c>
      <c r="F2218" s="841"/>
      <c r="G2218" s="841"/>
      <c r="H2218" s="840">
        <f t="shared" si="68"/>
        <v>0</v>
      </c>
      <c r="I2218" s="840">
        <f t="shared" si="69"/>
        <v>30000</v>
      </c>
    </row>
    <row r="2219" spans="1:9" ht="131.25">
      <c r="A2219" s="1081"/>
      <c r="B2219" s="475" t="s">
        <v>2301</v>
      </c>
      <c r="C2219" s="530">
        <v>9170</v>
      </c>
      <c r="D2219" s="530"/>
      <c r="E2219" s="905">
        <v>9170</v>
      </c>
      <c r="F2219" s="841"/>
      <c r="G2219" s="841"/>
      <c r="H2219" s="840">
        <f t="shared" si="68"/>
        <v>0</v>
      </c>
      <c r="I2219" s="840">
        <f t="shared" si="69"/>
        <v>18340</v>
      </c>
    </row>
    <row r="2220" spans="1:9" ht="56.25">
      <c r="A2220" s="1081"/>
      <c r="B2220" s="475" t="s">
        <v>1335</v>
      </c>
      <c r="C2220" s="530">
        <v>15000</v>
      </c>
      <c r="D2220" s="530"/>
      <c r="E2220" s="905">
        <v>15000</v>
      </c>
      <c r="F2220" s="841"/>
      <c r="G2220" s="841"/>
      <c r="H2220" s="840">
        <f t="shared" si="68"/>
        <v>0</v>
      </c>
      <c r="I2220" s="840">
        <f t="shared" si="69"/>
        <v>30000</v>
      </c>
    </row>
    <row r="2221" spans="1:9" ht="112.5">
      <c r="A2221" s="1081"/>
      <c r="B2221" s="475" t="s">
        <v>1336</v>
      </c>
      <c r="C2221" s="530">
        <v>61939</v>
      </c>
      <c r="D2221" s="530"/>
      <c r="E2221" s="905">
        <v>61939</v>
      </c>
      <c r="F2221" s="841"/>
      <c r="G2221" s="841"/>
      <c r="H2221" s="840">
        <f t="shared" si="68"/>
        <v>0</v>
      </c>
      <c r="I2221" s="840">
        <f t="shared" si="69"/>
        <v>123878</v>
      </c>
    </row>
    <row r="2222" spans="1:9" ht="37.5">
      <c r="A2222" s="1081"/>
      <c r="B2222" s="475" t="s">
        <v>1337</v>
      </c>
      <c r="C2222" s="530">
        <v>10000</v>
      </c>
      <c r="D2222" s="530"/>
      <c r="E2222" s="905">
        <v>10000</v>
      </c>
      <c r="F2222" s="841"/>
      <c r="G2222" s="841"/>
      <c r="H2222" s="840">
        <f t="shared" si="68"/>
        <v>0</v>
      </c>
      <c r="I2222" s="840">
        <f t="shared" si="69"/>
        <v>20000</v>
      </c>
    </row>
    <row r="2223" spans="1:9" ht="56.25">
      <c r="A2223" s="1081"/>
      <c r="B2223" s="475" t="s">
        <v>1338</v>
      </c>
      <c r="C2223" s="530">
        <v>6194</v>
      </c>
      <c r="D2223" s="530">
        <v>6194</v>
      </c>
      <c r="E2223" s="905"/>
      <c r="F2223" s="841"/>
      <c r="G2223" s="841"/>
      <c r="H2223" s="840">
        <f t="shared" si="68"/>
        <v>0</v>
      </c>
      <c r="I2223" s="840">
        <f t="shared" si="69"/>
        <v>12388</v>
      </c>
    </row>
    <row r="2224" spans="1:9" ht="56.25">
      <c r="A2224" s="1081"/>
      <c r="B2224" s="475" t="s">
        <v>1339</v>
      </c>
      <c r="C2224" s="530">
        <v>10000</v>
      </c>
      <c r="D2224" s="530">
        <v>10000</v>
      </c>
      <c r="E2224" s="905"/>
      <c r="F2224" s="841"/>
      <c r="G2224" s="841"/>
      <c r="H2224" s="840">
        <f t="shared" si="68"/>
        <v>0</v>
      </c>
      <c r="I2224" s="840">
        <f t="shared" si="69"/>
        <v>20000</v>
      </c>
    </row>
    <row r="2225" spans="1:9" ht="37.5">
      <c r="A2225" s="1081"/>
      <c r="B2225" s="475" t="s">
        <v>1340</v>
      </c>
      <c r="C2225" s="530">
        <v>10000</v>
      </c>
      <c r="D2225" s="530">
        <v>10000</v>
      </c>
      <c r="E2225" s="905"/>
      <c r="F2225" s="841"/>
      <c r="G2225" s="841"/>
      <c r="H2225" s="840">
        <f t="shared" si="68"/>
        <v>0</v>
      </c>
      <c r="I2225" s="840">
        <f t="shared" si="69"/>
        <v>20000</v>
      </c>
    </row>
    <row r="2226" spans="1:9" ht="37.5">
      <c r="A2226" s="1081"/>
      <c r="B2226" s="475" t="s">
        <v>1341</v>
      </c>
      <c r="C2226" s="530">
        <v>26080</v>
      </c>
      <c r="D2226" s="530">
        <v>26080</v>
      </c>
      <c r="E2226" s="905"/>
      <c r="F2226" s="841"/>
      <c r="G2226" s="841"/>
      <c r="H2226" s="840">
        <f t="shared" si="68"/>
        <v>0</v>
      </c>
      <c r="I2226" s="840">
        <f t="shared" si="69"/>
        <v>52160</v>
      </c>
    </row>
    <row r="2227" spans="1:9" ht="56.25">
      <c r="A2227" s="1081"/>
      <c r="B2227" s="475" t="s">
        <v>1342</v>
      </c>
      <c r="C2227" s="530">
        <v>3660</v>
      </c>
      <c r="D2227" s="530">
        <v>3660</v>
      </c>
      <c r="E2227" s="905"/>
      <c r="F2227" s="840"/>
      <c r="G2227" s="840"/>
      <c r="H2227" s="840">
        <f t="shared" si="68"/>
        <v>0</v>
      </c>
      <c r="I2227" s="840">
        <f t="shared" si="69"/>
        <v>7320</v>
      </c>
    </row>
    <row r="2228" spans="1:9" s="302" customFormat="1" ht="56.25">
      <c r="A2228" s="1068"/>
      <c r="B2228" s="475" t="s">
        <v>1343</v>
      </c>
      <c r="C2228" s="530">
        <v>5500</v>
      </c>
      <c r="D2228" s="530">
        <v>5500</v>
      </c>
      <c r="E2228" s="905"/>
      <c r="F2228" s="841"/>
      <c r="G2228" s="841"/>
      <c r="H2228" s="840">
        <f t="shared" si="68"/>
        <v>0</v>
      </c>
      <c r="I2228" s="840">
        <f t="shared" si="69"/>
        <v>11000</v>
      </c>
    </row>
    <row r="2229" spans="1:9" s="302" customFormat="1" ht="37.5">
      <c r="A2229" s="1068"/>
      <c r="B2229" s="475" t="s">
        <v>1344</v>
      </c>
      <c r="C2229" s="530">
        <v>15000</v>
      </c>
      <c r="D2229" s="530">
        <v>15000</v>
      </c>
      <c r="E2229" s="905"/>
      <c r="F2229" s="841"/>
      <c r="G2229" s="841"/>
      <c r="H2229" s="840">
        <f t="shared" si="68"/>
        <v>0</v>
      </c>
      <c r="I2229" s="840">
        <f t="shared" si="69"/>
        <v>30000</v>
      </c>
    </row>
    <row r="2230" spans="1:9" s="302" customFormat="1" ht="56.25">
      <c r="A2230" s="1068"/>
      <c r="B2230" s="475" t="s">
        <v>1345</v>
      </c>
      <c r="C2230" s="530">
        <v>8000</v>
      </c>
      <c r="D2230" s="530"/>
      <c r="E2230" s="905">
        <v>8000</v>
      </c>
      <c r="F2230" s="841"/>
      <c r="G2230" s="841"/>
      <c r="H2230" s="840">
        <f t="shared" si="68"/>
        <v>0</v>
      </c>
      <c r="I2230" s="840">
        <f t="shared" si="69"/>
        <v>16000</v>
      </c>
    </row>
    <row r="2231" spans="1:9" s="302" customFormat="1" ht="56.25">
      <c r="A2231" s="1068"/>
      <c r="B2231" s="475" t="s">
        <v>1346</v>
      </c>
      <c r="C2231" s="530">
        <v>10443</v>
      </c>
      <c r="D2231" s="530">
        <v>10443</v>
      </c>
      <c r="E2231" s="905"/>
      <c r="F2231" s="841"/>
      <c r="G2231" s="841"/>
      <c r="H2231" s="840">
        <f t="shared" si="68"/>
        <v>0</v>
      </c>
      <c r="I2231" s="840">
        <f t="shared" si="69"/>
        <v>20886</v>
      </c>
    </row>
    <row r="2232" spans="1:9" s="302" customFormat="1" ht="37.5">
      <c r="A2232" s="1068"/>
      <c r="B2232" s="475" t="s">
        <v>1347</v>
      </c>
      <c r="C2232" s="530">
        <v>3800</v>
      </c>
      <c r="D2232" s="530">
        <v>3800</v>
      </c>
      <c r="E2232" s="905"/>
      <c r="F2232" s="841"/>
      <c r="G2232" s="841"/>
      <c r="H2232" s="840">
        <f t="shared" si="68"/>
        <v>0</v>
      </c>
      <c r="I2232" s="840">
        <f t="shared" si="69"/>
        <v>7600</v>
      </c>
    </row>
    <row r="2233" spans="1:9" s="302" customFormat="1" ht="56.25">
      <c r="A2233" s="1068"/>
      <c r="B2233" s="475" t="s">
        <v>1348</v>
      </c>
      <c r="C2233" s="530">
        <v>5780</v>
      </c>
      <c r="D2233" s="530">
        <v>5780</v>
      </c>
      <c r="E2233" s="905"/>
      <c r="F2233" s="841"/>
      <c r="G2233" s="841"/>
      <c r="H2233" s="840">
        <f t="shared" si="68"/>
        <v>0</v>
      </c>
      <c r="I2233" s="840">
        <f t="shared" si="69"/>
        <v>11560</v>
      </c>
    </row>
    <row r="2234" spans="1:9" s="302" customFormat="1" ht="56.25">
      <c r="A2234" s="1068"/>
      <c r="B2234" s="475" t="s">
        <v>1349</v>
      </c>
      <c r="C2234" s="905">
        <v>13000</v>
      </c>
      <c r="D2234" s="905">
        <v>13000</v>
      </c>
      <c r="E2234" s="932"/>
      <c r="F2234" s="841"/>
      <c r="G2234" s="841"/>
      <c r="H2234" s="840">
        <f t="shared" si="68"/>
        <v>0</v>
      </c>
      <c r="I2234" s="840">
        <f t="shared" si="69"/>
        <v>26000</v>
      </c>
    </row>
    <row r="2235" spans="1:9" s="302" customFormat="1" ht="56.25">
      <c r="A2235" s="1068"/>
      <c r="B2235" s="475" t="s">
        <v>1350</v>
      </c>
      <c r="C2235" s="905">
        <v>3300</v>
      </c>
      <c r="D2235" s="905">
        <v>3300</v>
      </c>
      <c r="E2235" s="932"/>
      <c r="F2235" s="841"/>
      <c r="G2235" s="841"/>
      <c r="H2235" s="840">
        <f t="shared" si="68"/>
        <v>0</v>
      </c>
      <c r="I2235" s="840">
        <f t="shared" si="69"/>
        <v>6600</v>
      </c>
    </row>
    <row r="2236" spans="1:9" s="302" customFormat="1" ht="56.25">
      <c r="A2236" s="1068"/>
      <c r="B2236" s="475" t="s">
        <v>1351</v>
      </c>
      <c r="C2236" s="530">
        <v>15000</v>
      </c>
      <c r="D2236" s="530">
        <v>15000</v>
      </c>
      <c r="E2236" s="905"/>
      <c r="F2236" s="841"/>
      <c r="G2236" s="841"/>
      <c r="H2236" s="840">
        <f t="shared" si="68"/>
        <v>0</v>
      </c>
      <c r="I2236" s="840">
        <f t="shared" si="69"/>
        <v>30000</v>
      </c>
    </row>
    <row r="2237" spans="1:9" s="302" customFormat="1" ht="75">
      <c r="A2237" s="1068"/>
      <c r="B2237" s="475" t="s">
        <v>1352</v>
      </c>
      <c r="C2237" s="530">
        <v>13000</v>
      </c>
      <c r="D2237" s="530"/>
      <c r="E2237" s="530">
        <v>13000</v>
      </c>
      <c r="F2237" s="841"/>
      <c r="G2237" s="841"/>
      <c r="H2237" s="840">
        <f t="shared" si="68"/>
        <v>0</v>
      </c>
      <c r="I2237" s="840">
        <f t="shared" si="69"/>
        <v>26000</v>
      </c>
    </row>
    <row r="2238" spans="1:9" s="302" customFormat="1" ht="37.5">
      <c r="A2238" s="1068"/>
      <c r="B2238" s="475" t="s">
        <v>1353</v>
      </c>
      <c r="C2238" s="530">
        <v>10000</v>
      </c>
      <c r="D2238" s="530"/>
      <c r="E2238" s="530">
        <v>10000</v>
      </c>
      <c r="F2238" s="841"/>
      <c r="G2238" s="841"/>
      <c r="H2238" s="840">
        <f t="shared" si="68"/>
        <v>0</v>
      </c>
      <c r="I2238" s="840">
        <f t="shared" si="69"/>
        <v>20000</v>
      </c>
    </row>
    <row r="2239" spans="1:9" s="302" customFormat="1" ht="93.75">
      <c r="A2239" s="1068"/>
      <c r="B2239" s="475" t="s">
        <v>1354</v>
      </c>
      <c r="C2239" s="530">
        <v>15685</v>
      </c>
      <c r="D2239" s="530"/>
      <c r="E2239" s="530">
        <v>15685</v>
      </c>
      <c r="F2239" s="841"/>
      <c r="G2239" s="841"/>
      <c r="H2239" s="840">
        <f t="shared" si="68"/>
        <v>0</v>
      </c>
      <c r="I2239" s="840">
        <f t="shared" si="69"/>
        <v>31370</v>
      </c>
    </row>
    <row r="2240" spans="1:9" ht="93.75">
      <c r="A2240" s="1081"/>
      <c r="B2240" s="475" t="s">
        <v>1355</v>
      </c>
      <c r="C2240" s="530">
        <v>36210</v>
      </c>
      <c r="D2240" s="530">
        <v>36210</v>
      </c>
      <c r="E2240" s="905"/>
      <c r="F2240" s="841"/>
      <c r="G2240" s="841"/>
      <c r="H2240" s="840">
        <f t="shared" si="68"/>
        <v>0</v>
      </c>
      <c r="I2240" s="840">
        <f t="shared" si="69"/>
        <v>72420</v>
      </c>
    </row>
    <row r="2241" spans="1:9" s="302" customFormat="1" ht="75">
      <c r="A2241" s="1068"/>
      <c r="B2241" s="475" t="s">
        <v>1356</v>
      </c>
      <c r="C2241" s="530">
        <v>5000</v>
      </c>
      <c r="D2241" s="530">
        <v>5000</v>
      </c>
      <c r="E2241" s="905"/>
      <c r="F2241" s="841"/>
      <c r="G2241" s="841"/>
      <c r="H2241" s="840">
        <f t="shared" si="68"/>
        <v>0</v>
      </c>
      <c r="I2241" s="840">
        <f t="shared" si="69"/>
        <v>10000</v>
      </c>
    </row>
    <row r="2242" spans="1:9" s="302" customFormat="1" ht="37.5">
      <c r="A2242" s="1068"/>
      <c r="B2242" s="475" t="s">
        <v>1357</v>
      </c>
      <c r="C2242" s="530">
        <v>10000</v>
      </c>
      <c r="D2242" s="530"/>
      <c r="E2242" s="905">
        <v>10000</v>
      </c>
      <c r="F2242" s="841"/>
      <c r="G2242" s="841"/>
      <c r="H2242" s="840">
        <f t="shared" si="68"/>
        <v>0</v>
      </c>
      <c r="I2242" s="840">
        <f t="shared" si="69"/>
        <v>20000</v>
      </c>
    </row>
    <row r="2243" spans="1:9" s="302" customFormat="1" ht="37.5">
      <c r="A2243" s="1068"/>
      <c r="B2243" s="475" t="s">
        <v>1358</v>
      </c>
      <c r="C2243" s="530">
        <v>4700</v>
      </c>
      <c r="D2243" s="530">
        <v>4700</v>
      </c>
      <c r="E2243" s="905"/>
      <c r="F2243" s="841"/>
      <c r="G2243" s="841"/>
      <c r="H2243" s="840">
        <f t="shared" si="68"/>
        <v>0</v>
      </c>
      <c r="I2243" s="840">
        <f t="shared" si="69"/>
        <v>9400</v>
      </c>
    </row>
    <row r="2244" spans="1:9" s="302" customFormat="1" ht="93.75">
      <c r="A2244" s="1068"/>
      <c r="B2244" s="475" t="s">
        <v>1359</v>
      </c>
      <c r="C2244" s="530">
        <v>10000</v>
      </c>
      <c r="D2244" s="530">
        <v>10000</v>
      </c>
      <c r="E2244" s="905"/>
      <c r="F2244" s="841"/>
      <c r="G2244" s="841"/>
      <c r="H2244" s="840">
        <f t="shared" si="68"/>
        <v>0</v>
      </c>
      <c r="I2244" s="840">
        <f t="shared" si="69"/>
        <v>20000</v>
      </c>
    </row>
    <row r="2245" spans="1:9" s="302" customFormat="1" ht="37.5">
      <c r="A2245" s="1068"/>
      <c r="B2245" s="475" t="s">
        <v>1360</v>
      </c>
      <c r="C2245" s="530">
        <v>28000</v>
      </c>
      <c r="D2245" s="530">
        <v>28000</v>
      </c>
      <c r="E2245" s="905"/>
      <c r="F2245" s="841"/>
      <c r="G2245" s="841"/>
      <c r="H2245" s="840">
        <f t="shared" si="68"/>
        <v>0</v>
      </c>
      <c r="I2245" s="840">
        <f t="shared" si="69"/>
        <v>56000</v>
      </c>
    </row>
    <row r="2246" spans="1:9" s="302" customFormat="1" ht="75">
      <c r="A2246" s="1068"/>
      <c r="B2246" s="475" t="s">
        <v>1361</v>
      </c>
      <c r="C2246" s="530">
        <v>10000</v>
      </c>
      <c r="D2246" s="530">
        <v>10000</v>
      </c>
      <c r="E2246" s="905"/>
      <c r="F2246" s="841"/>
      <c r="G2246" s="841"/>
      <c r="H2246" s="840">
        <f t="shared" si="68"/>
        <v>0</v>
      </c>
      <c r="I2246" s="840">
        <f t="shared" si="69"/>
        <v>20000</v>
      </c>
    </row>
    <row r="2247" spans="1:9" s="302" customFormat="1" ht="75">
      <c r="A2247" s="1068"/>
      <c r="B2247" s="475" t="s">
        <v>1362</v>
      </c>
      <c r="C2247" s="530">
        <v>15600</v>
      </c>
      <c r="D2247" s="530"/>
      <c r="E2247" s="905">
        <v>15600</v>
      </c>
      <c r="F2247" s="841"/>
      <c r="G2247" s="841"/>
      <c r="H2247" s="840">
        <f t="shared" si="68"/>
        <v>0</v>
      </c>
      <c r="I2247" s="840">
        <f t="shared" si="69"/>
        <v>31200</v>
      </c>
    </row>
    <row r="2248" spans="1:9" s="302" customFormat="1" ht="56.25">
      <c r="A2248" s="1068"/>
      <c r="B2248" s="475" t="s">
        <v>1363</v>
      </c>
      <c r="C2248" s="530">
        <v>56000</v>
      </c>
      <c r="D2248" s="530">
        <v>56000</v>
      </c>
      <c r="E2248" s="905"/>
      <c r="F2248" s="841"/>
      <c r="G2248" s="841"/>
      <c r="H2248" s="840">
        <f t="shared" si="68"/>
        <v>0</v>
      </c>
      <c r="I2248" s="840">
        <f t="shared" si="69"/>
        <v>112000</v>
      </c>
    </row>
    <row r="2249" spans="1:9" s="302" customFormat="1" ht="56.25">
      <c r="A2249" s="1068"/>
      <c r="B2249" s="475" t="s">
        <v>1364</v>
      </c>
      <c r="C2249" s="530">
        <v>24000</v>
      </c>
      <c r="D2249" s="530">
        <v>24000</v>
      </c>
      <c r="E2249" s="905"/>
      <c r="F2249" s="841"/>
      <c r="G2249" s="841"/>
      <c r="H2249" s="840">
        <f t="shared" ref="H2249:H2312" si="70">E2249+D2249-C2249</f>
        <v>0</v>
      </c>
      <c r="I2249" s="840">
        <f t="shared" ref="I2249:I2312" si="71">SUM(C2249:E2249)</f>
        <v>48000</v>
      </c>
    </row>
    <row r="2250" spans="1:9" s="302" customFormat="1" ht="93.75">
      <c r="A2250" s="1068"/>
      <c r="B2250" s="475" t="s">
        <v>1365</v>
      </c>
      <c r="C2250" s="530">
        <v>30000</v>
      </c>
      <c r="D2250" s="530">
        <v>30000</v>
      </c>
      <c r="E2250" s="905"/>
      <c r="F2250" s="841"/>
      <c r="G2250" s="841"/>
      <c r="H2250" s="840">
        <f t="shared" si="70"/>
        <v>0</v>
      </c>
      <c r="I2250" s="840">
        <f t="shared" si="71"/>
        <v>60000</v>
      </c>
    </row>
    <row r="2251" spans="1:9" s="302" customFormat="1" ht="75">
      <c r="A2251" s="1068"/>
      <c r="B2251" s="475" t="s">
        <v>1366</v>
      </c>
      <c r="C2251" s="530">
        <v>20805</v>
      </c>
      <c r="D2251" s="530">
        <v>20805</v>
      </c>
      <c r="E2251" s="905"/>
      <c r="F2251" s="841"/>
      <c r="G2251" s="841"/>
      <c r="H2251" s="840">
        <f t="shared" si="70"/>
        <v>0</v>
      </c>
      <c r="I2251" s="840">
        <f t="shared" si="71"/>
        <v>41610</v>
      </c>
    </row>
    <row r="2252" spans="1:9" s="302" customFormat="1" ht="56.25">
      <c r="A2252" s="1068"/>
      <c r="B2252" s="475" t="s">
        <v>1367</v>
      </c>
      <c r="C2252" s="530">
        <v>28765</v>
      </c>
      <c r="D2252" s="530">
        <v>28765</v>
      </c>
      <c r="E2252" s="905"/>
      <c r="F2252" s="841"/>
      <c r="G2252" s="841"/>
      <c r="H2252" s="840">
        <f t="shared" si="70"/>
        <v>0</v>
      </c>
      <c r="I2252" s="840">
        <f t="shared" si="71"/>
        <v>57530</v>
      </c>
    </row>
    <row r="2253" spans="1:9" s="302" customFormat="1" ht="37.5">
      <c r="A2253" s="1068"/>
      <c r="B2253" s="475" t="s">
        <v>1368</v>
      </c>
      <c r="C2253" s="530">
        <v>30000</v>
      </c>
      <c r="D2253" s="530"/>
      <c r="E2253" s="905">
        <v>30000</v>
      </c>
      <c r="F2253" s="841"/>
      <c r="G2253" s="841"/>
      <c r="H2253" s="840">
        <f t="shared" si="70"/>
        <v>0</v>
      </c>
      <c r="I2253" s="840">
        <f t="shared" si="71"/>
        <v>60000</v>
      </c>
    </row>
    <row r="2254" spans="1:9" s="302" customFormat="1" ht="56.25">
      <c r="A2254" s="1068"/>
      <c r="B2254" s="475" t="s">
        <v>1369</v>
      </c>
      <c r="C2254" s="530">
        <v>30000</v>
      </c>
      <c r="D2254" s="530">
        <v>30000</v>
      </c>
      <c r="E2254" s="905"/>
      <c r="F2254" s="841"/>
      <c r="G2254" s="841"/>
      <c r="H2254" s="840">
        <f t="shared" si="70"/>
        <v>0</v>
      </c>
      <c r="I2254" s="840">
        <f t="shared" si="71"/>
        <v>60000</v>
      </c>
    </row>
    <row r="2255" spans="1:9" s="302" customFormat="1" ht="37.5">
      <c r="A2255" s="1068"/>
      <c r="B2255" s="475" t="s">
        <v>1370</v>
      </c>
      <c r="C2255" s="530">
        <v>12000</v>
      </c>
      <c r="D2255" s="530">
        <v>12000</v>
      </c>
      <c r="E2255" s="905"/>
      <c r="F2255" s="841"/>
      <c r="G2255" s="841"/>
      <c r="H2255" s="840">
        <f t="shared" si="70"/>
        <v>0</v>
      </c>
      <c r="I2255" s="840">
        <f t="shared" si="71"/>
        <v>24000</v>
      </c>
    </row>
    <row r="2256" spans="1:9" s="302" customFormat="1" ht="56.25">
      <c r="A2256" s="1068"/>
      <c r="B2256" s="475" t="s">
        <v>1371</v>
      </c>
      <c r="C2256" s="530">
        <v>70695</v>
      </c>
      <c r="D2256" s="530">
        <v>70695</v>
      </c>
      <c r="E2256" s="905"/>
      <c r="F2256" s="841"/>
      <c r="G2256" s="841"/>
      <c r="H2256" s="840">
        <f t="shared" si="70"/>
        <v>0</v>
      </c>
      <c r="I2256" s="840">
        <f t="shared" si="71"/>
        <v>141390</v>
      </c>
    </row>
    <row r="2257" spans="1:9" s="302" customFormat="1" ht="56.25">
      <c r="A2257" s="1068"/>
      <c r="B2257" s="475" t="s">
        <v>2299</v>
      </c>
      <c r="C2257" s="908">
        <v>40000</v>
      </c>
      <c r="D2257" s="908"/>
      <c r="E2257" s="905">
        <v>40000</v>
      </c>
      <c r="F2257" s="841"/>
      <c r="G2257" s="841"/>
      <c r="H2257" s="840">
        <f t="shared" si="70"/>
        <v>0</v>
      </c>
      <c r="I2257" s="840">
        <f t="shared" si="71"/>
        <v>80000</v>
      </c>
    </row>
    <row r="2258" spans="1:9" s="302" customFormat="1" ht="56.25">
      <c r="A2258" s="1068"/>
      <c r="B2258" s="475" t="s">
        <v>1908</v>
      </c>
      <c r="C2258" s="911">
        <v>200000</v>
      </c>
      <c r="D2258" s="911">
        <v>13894</v>
      </c>
      <c r="E2258" s="911">
        <v>186106</v>
      </c>
      <c r="F2258" s="841"/>
      <c r="G2258" s="841"/>
      <c r="H2258" s="840">
        <f t="shared" si="70"/>
        <v>0</v>
      </c>
      <c r="I2258" s="840">
        <f t="shared" si="71"/>
        <v>400000</v>
      </c>
    </row>
    <row r="2259" spans="1:9" s="302" customFormat="1" ht="56.25">
      <c r="A2259" s="1068"/>
      <c r="B2259" s="475" t="s">
        <v>1909</v>
      </c>
      <c r="C2259" s="911">
        <v>304100</v>
      </c>
      <c r="D2259" s="911">
        <v>189865</v>
      </c>
      <c r="E2259" s="911">
        <v>114235</v>
      </c>
      <c r="F2259" s="841"/>
      <c r="G2259" s="841"/>
      <c r="H2259" s="840">
        <f t="shared" si="70"/>
        <v>0</v>
      </c>
      <c r="I2259" s="840">
        <f t="shared" si="71"/>
        <v>608200</v>
      </c>
    </row>
    <row r="2260" spans="1:9" s="302" customFormat="1" ht="56.25">
      <c r="A2260" s="1068"/>
      <c r="B2260" s="475" t="s">
        <v>1910</v>
      </c>
      <c r="C2260" s="911">
        <v>300000</v>
      </c>
      <c r="D2260" s="911"/>
      <c r="E2260" s="911">
        <v>300000</v>
      </c>
      <c r="F2260" s="841"/>
      <c r="G2260" s="841"/>
      <c r="H2260" s="840">
        <f t="shared" si="70"/>
        <v>0</v>
      </c>
      <c r="I2260" s="840">
        <f t="shared" si="71"/>
        <v>600000</v>
      </c>
    </row>
    <row r="2261" spans="1:9" s="302" customFormat="1" ht="75">
      <c r="A2261" s="1068"/>
      <c r="B2261" s="475" t="s">
        <v>2100</v>
      </c>
      <c r="C2261" s="905">
        <v>21060</v>
      </c>
      <c r="D2261" s="932">
        <v>21060</v>
      </c>
      <c r="E2261" s="932"/>
      <c r="F2261" s="841"/>
      <c r="G2261" s="841"/>
      <c r="H2261" s="840">
        <f t="shared" si="70"/>
        <v>0</v>
      </c>
      <c r="I2261" s="840">
        <f t="shared" si="71"/>
        <v>42120</v>
      </c>
    </row>
    <row r="2262" spans="1:9" s="302" customFormat="1" ht="37.5">
      <c r="A2262" s="1068"/>
      <c r="B2262" s="475" t="s">
        <v>2101</v>
      </c>
      <c r="C2262" s="908">
        <v>18500</v>
      </c>
      <c r="D2262" s="908">
        <v>18500</v>
      </c>
      <c r="E2262" s="905"/>
      <c r="F2262" s="841"/>
      <c r="G2262" s="841"/>
      <c r="H2262" s="840">
        <f t="shared" si="70"/>
        <v>0</v>
      </c>
      <c r="I2262" s="840">
        <f t="shared" si="71"/>
        <v>37000</v>
      </c>
    </row>
    <row r="2263" spans="1:9" s="302" customFormat="1" ht="93.75">
      <c r="A2263" s="1068"/>
      <c r="B2263" s="475" t="s">
        <v>2102</v>
      </c>
      <c r="C2263" s="908">
        <v>51000</v>
      </c>
      <c r="D2263" s="908"/>
      <c r="E2263" s="905">
        <v>51000</v>
      </c>
      <c r="F2263" s="841"/>
      <c r="G2263" s="841"/>
      <c r="H2263" s="840">
        <f t="shared" si="70"/>
        <v>0</v>
      </c>
      <c r="I2263" s="840">
        <f t="shared" si="71"/>
        <v>102000</v>
      </c>
    </row>
    <row r="2264" spans="1:9" s="302" customFormat="1" ht="56.25">
      <c r="A2264" s="1068"/>
      <c r="B2264" s="475" t="s">
        <v>2103</v>
      </c>
      <c r="C2264" s="908">
        <v>10000</v>
      </c>
      <c r="D2264" s="908">
        <v>10000</v>
      </c>
      <c r="E2264" s="905"/>
      <c r="F2264" s="841"/>
      <c r="G2264" s="841"/>
      <c r="H2264" s="840">
        <f t="shared" si="70"/>
        <v>0</v>
      </c>
      <c r="I2264" s="840">
        <f t="shared" si="71"/>
        <v>20000</v>
      </c>
    </row>
    <row r="2265" spans="1:9" s="302" customFormat="1" ht="56.25">
      <c r="A2265" s="1068"/>
      <c r="B2265" s="475" t="s">
        <v>2104</v>
      </c>
      <c r="C2265" s="908">
        <v>15000</v>
      </c>
      <c r="D2265" s="908">
        <v>15000</v>
      </c>
      <c r="E2265" s="905"/>
      <c r="F2265" s="841"/>
      <c r="G2265" s="841"/>
      <c r="H2265" s="840">
        <f t="shared" si="70"/>
        <v>0</v>
      </c>
      <c r="I2265" s="840">
        <f t="shared" si="71"/>
        <v>30000</v>
      </c>
    </row>
    <row r="2266" spans="1:9" s="302" customFormat="1" ht="75">
      <c r="A2266" s="1068"/>
      <c r="B2266" s="475" t="s">
        <v>2105</v>
      </c>
      <c r="C2266" s="908">
        <v>5000</v>
      </c>
      <c r="D2266" s="908"/>
      <c r="E2266" s="905">
        <v>5000</v>
      </c>
      <c r="F2266" s="841"/>
      <c r="G2266" s="841"/>
      <c r="H2266" s="840">
        <f t="shared" si="70"/>
        <v>0</v>
      </c>
      <c r="I2266" s="840">
        <f t="shared" si="71"/>
        <v>10000</v>
      </c>
    </row>
    <row r="2267" spans="1:9" s="302" customFormat="1" ht="37.5">
      <c r="A2267" s="1068"/>
      <c r="B2267" s="475" t="s">
        <v>2106</v>
      </c>
      <c r="C2267" s="908">
        <v>8000</v>
      </c>
      <c r="D2267" s="908">
        <v>8000</v>
      </c>
      <c r="E2267" s="905"/>
      <c r="F2267" s="841"/>
      <c r="G2267" s="841"/>
      <c r="H2267" s="840">
        <f t="shared" si="70"/>
        <v>0</v>
      </c>
      <c r="I2267" s="840">
        <f t="shared" si="71"/>
        <v>16000</v>
      </c>
    </row>
    <row r="2268" spans="1:9" s="302" customFormat="1" ht="37.5">
      <c r="A2268" s="1068"/>
      <c r="B2268" s="475" t="s">
        <v>2107</v>
      </c>
      <c r="C2268" s="908">
        <v>8000</v>
      </c>
      <c r="D2268" s="908"/>
      <c r="E2268" s="905">
        <v>8000</v>
      </c>
      <c r="F2268" s="841"/>
      <c r="G2268" s="841"/>
      <c r="H2268" s="840">
        <f t="shared" si="70"/>
        <v>0</v>
      </c>
      <c r="I2268" s="840">
        <f t="shared" si="71"/>
        <v>16000</v>
      </c>
    </row>
    <row r="2269" spans="1:9" s="302" customFormat="1" ht="37.5">
      <c r="A2269" s="1068"/>
      <c r="B2269" s="475" t="s">
        <v>2108</v>
      </c>
      <c r="C2269" s="908">
        <v>15045</v>
      </c>
      <c r="D2269" s="908">
        <v>15045</v>
      </c>
      <c r="E2269" s="905"/>
      <c r="F2269" s="841"/>
      <c r="G2269" s="841"/>
      <c r="H2269" s="840">
        <f t="shared" si="70"/>
        <v>0</v>
      </c>
      <c r="I2269" s="840">
        <f t="shared" si="71"/>
        <v>30090</v>
      </c>
    </row>
    <row r="2270" spans="1:9" s="302" customFormat="1" ht="56.25">
      <c r="A2270" s="1068"/>
      <c r="B2270" s="475" t="s">
        <v>2109</v>
      </c>
      <c r="C2270" s="905">
        <v>25000</v>
      </c>
      <c r="D2270" s="905"/>
      <c r="E2270" s="905">
        <v>25000</v>
      </c>
      <c r="F2270" s="841"/>
      <c r="G2270" s="841"/>
      <c r="H2270" s="840">
        <f t="shared" si="70"/>
        <v>0</v>
      </c>
      <c r="I2270" s="840">
        <f t="shared" si="71"/>
        <v>50000</v>
      </c>
    </row>
    <row r="2271" spans="1:9" s="302" customFormat="1" ht="75">
      <c r="A2271" s="1068"/>
      <c r="B2271" s="475" t="s">
        <v>2110</v>
      </c>
      <c r="C2271" s="905">
        <v>10000</v>
      </c>
      <c r="D2271" s="905">
        <v>10000</v>
      </c>
      <c r="E2271" s="905"/>
      <c r="F2271" s="841"/>
      <c r="G2271" s="841"/>
      <c r="H2271" s="840">
        <f t="shared" si="70"/>
        <v>0</v>
      </c>
      <c r="I2271" s="840">
        <f t="shared" si="71"/>
        <v>20000</v>
      </c>
    </row>
    <row r="2272" spans="1:9" s="302" customFormat="1" ht="56.25">
      <c r="A2272" s="1068"/>
      <c r="B2272" s="475" t="s">
        <v>2111</v>
      </c>
      <c r="C2272" s="905">
        <v>20000</v>
      </c>
      <c r="D2272" s="905">
        <v>20000</v>
      </c>
      <c r="E2272" s="905"/>
      <c r="F2272" s="841"/>
      <c r="G2272" s="841"/>
      <c r="H2272" s="840">
        <f t="shared" si="70"/>
        <v>0</v>
      </c>
      <c r="I2272" s="840">
        <f t="shared" si="71"/>
        <v>40000</v>
      </c>
    </row>
    <row r="2273" spans="1:9" s="302" customFormat="1" ht="75">
      <c r="A2273" s="1068"/>
      <c r="B2273" s="475" t="s">
        <v>2112</v>
      </c>
      <c r="C2273" s="905">
        <v>17000</v>
      </c>
      <c r="D2273" s="905"/>
      <c r="E2273" s="905">
        <v>17000</v>
      </c>
      <c r="F2273" s="841"/>
      <c r="G2273" s="841"/>
      <c r="H2273" s="840">
        <f t="shared" si="70"/>
        <v>0</v>
      </c>
      <c r="I2273" s="840">
        <f t="shared" si="71"/>
        <v>34000</v>
      </c>
    </row>
    <row r="2274" spans="1:9" s="302" customFormat="1" ht="56.25">
      <c r="A2274" s="1068"/>
      <c r="B2274" s="475" t="s">
        <v>2113</v>
      </c>
      <c r="C2274" s="905">
        <v>10000</v>
      </c>
      <c r="D2274" s="905">
        <v>10000</v>
      </c>
      <c r="E2274" s="905"/>
      <c r="F2274" s="841"/>
      <c r="G2274" s="841"/>
      <c r="H2274" s="840">
        <f t="shared" si="70"/>
        <v>0</v>
      </c>
      <c r="I2274" s="840">
        <f t="shared" si="71"/>
        <v>20000</v>
      </c>
    </row>
    <row r="2275" spans="1:9" s="302" customFormat="1" ht="56.25">
      <c r="A2275" s="1068"/>
      <c r="B2275" s="475" t="s">
        <v>2114</v>
      </c>
      <c r="C2275" s="905">
        <v>19000</v>
      </c>
      <c r="D2275" s="905"/>
      <c r="E2275" s="905">
        <v>19000</v>
      </c>
      <c r="F2275" s="841"/>
      <c r="G2275" s="841"/>
      <c r="H2275" s="840">
        <f t="shared" si="70"/>
        <v>0</v>
      </c>
      <c r="I2275" s="840">
        <f t="shared" si="71"/>
        <v>38000</v>
      </c>
    </row>
    <row r="2276" spans="1:9" s="302" customFormat="1" ht="56.25">
      <c r="A2276" s="1068"/>
      <c r="B2276" s="475" t="s">
        <v>2115</v>
      </c>
      <c r="C2276" s="905">
        <v>18750</v>
      </c>
      <c r="D2276" s="905">
        <v>18750</v>
      </c>
      <c r="E2276" s="905"/>
      <c r="F2276" s="841"/>
      <c r="G2276" s="841"/>
      <c r="H2276" s="840">
        <f t="shared" si="70"/>
        <v>0</v>
      </c>
      <c r="I2276" s="840">
        <f t="shared" si="71"/>
        <v>37500</v>
      </c>
    </row>
    <row r="2277" spans="1:9" s="302" customFormat="1" ht="56.25">
      <c r="A2277" s="1068"/>
      <c r="B2277" s="475" t="s">
        <v>2116</v>
      </c>
      <c r="C2277" s="905">
        <v>15000</v>
      </c>
      <c r="D2277" s="905">
        <v>15000</v>
      </c>
      <c r="E2277" s="905"/>
      <c r="F2277" s="841"/>
      <c r="G2277" s="841"/>
      <c r="H2277" s="840">
        <f t="shared" si="70"/>
        <v>0</v>
      </c>
      <c r="I2277" s="840">
        <f t="shared" si="71"/>
        <v>30000</v>
      </c>
    </row>
    <row r="2278" spans="1:9" s="302" customFormat="1" ht="56.25">
      <c r="A2278" s="1068"/>
      <c r="B2278" s="475" t="s">
        <v>2117</v>
      </c>
      <c r="C2278" s="905">
        <v>15000</v>
      </c>
      <c r="D2278" s="905">
        <v>15000</v>
      </c>
      <c r="E2278" s="905"/>
      <c r="F2278" s="841"/>
      <c r="G2278" s="841"/>
      <c r="H2278" s="840">
        <f t="shared" si="70"/>
        <v>0</v>
      </c>
      <c r="I2278" s="840">
        <f t="shared" si="71"/>
        <v>30000</v>
      </c>
    </row>
    <row r="2279" spans="1:9" s="302" customFormat="1" ht="75">
      <c r="A2279" s="1068"/>
      <c r="B2279" s="475" t="s">
        <v>2118</v>
      </c>
      <c r="C2279" s="905">
        <v>14200</v>
      </c>
      <c r="D2279" s="905"/>
      <c r="E2279" s="905">
        <v>14200</v>
      </c>
      <c r="F2279" s="841"/>
      <c r="G2279" s="841"/>
      <c r="H2279" s="840">
        <f t="shared" si="70"/>
        <v>0</v>
      </c>
      <c r="I2279" s="840">
        <f t="shared" si="71"/>
        <v>28400</v>
      </c>
    </row>
    <row r="2280" spans="1:9" s="302" customFormat="1" ht="37.5">
      <c r="A2280" s="1068"/>
      <c r="B2280" s="475" t="s">
        <v>2119</v>
      </c>
      <c r="C2280" s="905">
        <v>14240</v>
      </c>
      <c r="D2280" s="905"/>
      <c r="E2280" s="905">
        <v>14240</v>
      </c>
      <c r="F2280" s="841"/>
      <c r="G2280" s="841"/>
      <c r="H2280" s="840">
        <f t="shared" si="70"/>
        <v>0</v>
      </c>
      <c r="I2280" s="840">
        <f t="shared" si="71"/>
        <v>28480</v>
      </c>
    </row>
    <row r="2281" spans="1:9" s="302" customFormat="1" ht="37.5">
      <c r="A2281" s="1068"/>
      <c r="B2281" s="475" t="s">
        <v>2120</v>
      </c>
      <c r="C2281" s="905">
        <v>2200</v>
      </c>
      <c r="D2281" s="905">
        <v>2200</v>
      </c>
      <c r="E2281" s="905"/>
      <c r="F2281" s="841"/>
      <c r="G2281" s="841"/>
      <c r="H2281" s="840">
        <f t="shared" si="70"/>
        <v>0</v>
      </c>
      <c r="I2281" s="840">
        <f t="shared" si="71"/>
        <v>4400</v>
      </c>
    </row>
    <row r="2282" spans="1:9" s="302" customFormat="1" ht="75" hidden="1">
      <c r="A2282" s="1068"/>
      <c r="B2282" s="475" t="s">
        <v>2121</v>
      </c>
      <c r="C2282" s="905">
        <f>57117-57117</f>
        <v>0</v>
      </c>
      <c r="D2282" s="905">
        <f>57117-57117</f>
        <v>0</v>
      </c>
      <c r="E2282" s="905"/>
      <c r="F2282" s="841"/>
      <c r="G2282" s="841"/>
      <c r="H2282" s="840">
        <f t="shared" si="70"/>
        <v>0</v>
      </c>
      <c r="I2282" s="840">
        <f t="shared" si="71"/>
        <v>0</v>
      </c>
    </row>
    <row r="2283" spans="1:9" s="302" customFormat="1" ht="75">
      <c r="A2283" s="1068"/>
      <c r="B2283" s="535" t="s">
        <v>2510</v>
      </c>
      <c r="C2283" s="908">
        <v>19350</v>
      </c>
      <c r="D2283" s="908">
        <v>19350</v>
      </c>
      <c r="E2283" s="905"/>
      <c r="F2283" s="841"/>
      <c r="G2283" s="841"/>
      <c r="H2283" s="840">
        <f t="shared" si="70"/>
        <v>0</v>
      </c>
      <c r="I2283" s="840">
        <f t="shared" si="71"/>
        <v>38700</v>
      </c>
    </row>
    <row r="2284" spans="1:9" s="302" customFormat="1" ht="37.5">
      <c r="A2284" s="1068"/>
      <c r="B2284" s="535" t="s">
        <v>2511</v>
      </c>
      <c r="C2284" s="908">
        <v>10167</v>
      </c>
      <c r="D2284" s="908">
        <v>10167</v>
      </c>
      <c r="E2284" s="905"/>
      <c r="F2284" s="841"/>
      <c r="G2284" s="841"/>
      <c r="H2284" s="840">
        <f t="shared" si="70"/>
        <v>0</v>
      </c>
      <c r="I2284" s="840">
        <f t="shared" si="71"/>
        <v>20334</v>
      </c>
    </row>
    <row r="2285" spans="1:9" s="302" customFormat="1" ht="37.5">
      <c r="A2285" s="1068"/>
      <c r="B2285" s="535" t="s">
        <v>2512</v>
      </c>
      <c r="C2285" s="908">
        <v>27600</v>
      </c>
      <c r="D2285" s="908">
        <v>27600</v>
      </c>
      <c r="E2285" s="905"/>
      <c r="F2285" s="841"/>
      <c r="G2285" s="841"/>
      <c r="H2285" s="840">
        <f t="shared" si="70"/>
        <v>0</v>
      </c>
      <c r="I2285" s="840">
        <f t="shared" si="71"/>
        <v>55200</v>
      </c>
    </row>
    <row r="2286" spans="1:9" s="302" customFormat="1" ht="75">
      <c r="A2286" s="1068"/>
      <c r="B2286" s="475" t="s">
        <v>2122</v>
      </c>
      <c r="C2286" s="905">
        <v>10840</v>
      </c>
      <c r="D2286" s="905">
        <v>10840</v>
      </c>
      <c r="E2286" s="905"/>
      <c r="F2286" s="841"/>
      <c r="G2286" s="841"/>
      <c r="H2286" s="840">
        <f t="shared" si="70"/>
        <v>0</v>
      </c>
      <c r="I2286" s="840">
        <f t="shared" si="71"/>
        <v>21680</v>
      </c>
    </row>
    <row r="2287" spans="1:9" s="302" customFormat="1" ht="37.5">
      <c r="A2287" s="1068"/>
      <c r="B2287" s="475" t="s">
        <v>2123</v>
      </c>
      <c r="C2287" s="905">
        <v>2000</v>
      </c>
      <c r="D2287" s="905">
        <v>2000</v>
      </c>
      <c r="E2287" s="905"/>
      <c r="F2287" s="841"/>
      <c r="G2287" s="841"/>
      <c r="H2287" s="840">
        <f t="shared" si="70"/>
        <v>0</v>
      </c>
      <c r="I2287" s="840">
        <f t="shared" si="71"/>
        <v>4000</v>
      </c>
    </row>
    <row r="2288" spans="1:9" s="302" customFormat="1" ht="37.5">
      <c r="A2288" s="1068"/>
      <c r="B2288" s="475" t="s">
        <v>2124</v>
      </c>
      <c r="C2288" s="905">
        <v>2258</v>
      </c>
      <c r="D2288" s="905">
        <v>2258</v>
      </c>
      <c r="E2288" s="905"/>
      <c r="F2288" s="841"/>
      <c r="G2288" s="841"/>
      <c r="H2288" s="840">
        <f t="shared" si="70"/>
        <v>0</v>
      </c>
      <c r="I2288" s="840">
        <f t="shared" si="71"/>
        <v>4516</v>
      </c>
    </row>
    <row r="2289" spans="1:9" s="302" customFormat="1" ht="56.25">
      <c r="A2289" s="1068"/>
      <c r="B2289" s="475" t="s">
        <v>2125</v>
      </c>
      <c r="C2289" s="908">
        <v>14400</v>
      </c>
      <c r="D2289" s="908">
        <v>14400</v>
      </c>
      <c r="E2289" s="905"/>
      <c r="F2289" s="841"/>
      <c r="G2289" s="841"/>
      <c r="H2289" s="840">
        <f t="shared" si="70"/>
        <v>0</v>
      </c>
      <c r="I2289" s="840">
        <f t="shared" si="71"/>
        <v>28800</v>
      </c>
    </row>
    <row r="2290" spans="1:9" s="302" customFormat="1" ht="56.25">
      <c r="A2290" s="1068"/>
      <c r="B2290" s="475" t="s">
        <v>2126</v>
      </c>
      <c r="C2290" s="908">
        <v>15200</v>
      </c>
      <c r="D2290" s="908">
        <v>15200</v>
      </c>
      <c r="E2290" s="905"/>
      <c r="F2290" s="841"/>
      <c r="G2290" s="841"/>
      <c r="H2290" s="840">
        <f t="shared" si="70"/>
        <v>0</v>
      </c>
      <c r="I2290" s="840">
        <f t="shared" si="71"/>
        <v>30400</v>
      </c>
    </row>
    <row r="2291" spans="1:9" s="302" customFormat="1" ht="75">
      <c r="A2291" s="1068"/>
      <c r="B2291" s="475" t="s">
        <v>2127</v>
      </c>
      <c r="C2291" s="905">
        <v>4000</v>
      </c>
      <c r="D2291" s="905">
        <v>4000</v>
      </c>
      <c r="E2291" s="905"/>
      <c r="F2291" s="841"/>
      <c r="G2291" s="841"/>
      <c r="H2291" s="840">
        <f t="shared" si="70"/>
        <v>0</v>
      </c>
      <c r="I2291" s="840">
        <f t="shared" si="71"/>
        <v>8000</v>
      </c>
    </row>
    <row r="2292" spans="1:9" s="302" customFormat="1" ht="56.25">
      <c r="A2292" s="1068"/>
      <c r="B2292" s="475" t="s">
        <v>2128</v>
      </c>
      <c r="C2292" s="908">
        <v>20000</v>
      </c>
      <c r="D2292" s="908">
        <v>20000</v>
      </c>
      <c r="E2292" s="905"/>
      <c r="F2292" s="841"/>
      <c r="G2292" s="841"/>
      <c r="H2292" s="840">
        <f t="shared" si="70"/>
        <v>0</v>
      </c>
      <c r="I2292" s="840">
        <f t="shared" si="71"/>
        <v>40000</v>
      </c>
    </row>
    <row r="2293" spans="1:9" s="302" customFormat="1" ht="75">
      <c r="A2293" s="1068"/>
      <c r="B2293" s="475" t="s">
        <v>2588</v>
      </c>
      <c r="C2293" s="905">
        <v>31000</v>
      </c>
      <c r="D2293" s="905">
        <v>31000</v>
      </c>
      <c r="E2293" s="905"/>
      <c r="F2293" s="841"/>
      <c r="G2293" s="841"/>
      <c r="H2293" s="840">
        <f t="shared" si="70"/>
        <v>0</v>
      </c>
      <c r="I2293" s="840">
        <f t="shared" si="71"/>
        <v>62000</v>
      </c>
    </row>
    <row r="2294" spans="1:9" s="302" customFormat="1" ht="37.5">
      <c r="A2294" s="1068"/>
      <c r="B2294" s="475" t="s">
        <v>2589</v>
      </c>
      <c r="C2294" s="905">
        <v>4659</v>
      </c>
      <c r="D2294" s="905">
        <v>4659</v>
      </c>
      <c r="E2294" s="905"/>
      <c r="F2294" s="841"/>
      <c r="G2294" s="841"/>
      <c r="H2294" s="840">
        <f t="shared" si="70"/>
        <v>0</v>
      </c>
      <c r="I2294" s="840">
        <f t="shared" si="71"/>
        <v>9318</v>
      </c>
    </row>
    <row r="2295" spans="1:9" s="302" customFormat="1" ht="37.5">
      <c r="A2295" s="1068"/>
      <c r="B2295" s="475" t="s">
        <v>2590</v>
      </c>
      <c r="C2295" s="905">
        <v>2541</v>
      </c>
      <c r="D2295" s="905">
        <v>2541</v>
      </c>
      <c r="E2295" s="905"/>
      <c r="F2295" s="841"/>
      <c r="G2295" s="841"/>
      <c r="H2295" s="840">
        <f t="shared" si="70"/>
        <v>0</v>
      </c>
      <c r="I2295" s="840">
        <f t="shared" si="71"/>
        <v>5082</v>
      </c>
    </row>
    <row r="2296" spans="1:9" s="302" customFormat="1" ht="37.5">
      <c r="A2296" s="1068"/>
      <c r="B2296" s="475" t="s">
        <v>2591</v>
      </c>
      <c r="C2296" s="905">
        <v>8875</v>
      </c>
      <c r="D2296" s="905">
        <v>8875</v>
      </c>
      <c r="E2296" s="905"/>
      <c r="F2296" s="841"/>
      <c r="G2296" s="841"/>
      <c r="H2296" s="840">
        <f t="shared" si="70"/>
        <v>0</v>
      </c>
      <c r="I2296" s="840">
        <f t="shared" si="71"/>
        <v>17750</v>
      </c>
    </row>
    <row r="2297" spans="1:9" s="302" customFormat="1" ht="37.5">
      <c r="A2297" s="1068"/>
      <c r="B2297" s="475" t="s">
        <v>2592</v>
      </c>
      <c r="C2297" s="905">
        <v>13500</v>
      </c>
      <c r="D2297" s="905"/>
      <c r="E2297" s="905">
        <v>13500</v>
      </c>
      <c r="F2297" s="841"/>
      <c r="G2297" s="841"/>
      <c r="H2297" s="840">
        <f t="shared" si="70"/>
        <v>0</v>
      </c>
      <c r="I2297" s="840">
        <f t="shared" si="71"/>
        <v>27000</v>
      </c>
    </row>
    <row r="2298" spans="1:9" s="302" customFormat="1" ht="56.25">
      <c r="A2298" s="1068"/>
      <c r="B2298" s="475" t="s">
        <v>2593</v>
      </c>
      <c r="C2298" s="905">
        <v>9425</v>
      </c>
      <c r="D2298" s="905">
        <v>9425</v>
      </c>
      <c r="E2298" s="905"/>
      <c r="F2298" s="841"/>
      <c r="G2298" s="841"/>
      <c r="H2298" s="840">
        <f t="shared" si="70"/>
        <v>0</v>
      </c>
      <c r="I2298" s="840">
        <f t="shared" si="71"/>
        <v>18850</v>
      </c>
    </row>
    <row r="2299" spans="1:9" s="302" customFormat="1" ht="56.25">
      <c r="A2299" s="1068"/>
      <c r="B2299" s="475" t="s">
        <v>2594</v>
      </c>
      <c r="C2299" s="905">
        <v>24748</v>
      </c>
      <c r="D2299" s="905">
        <v>10000</v>
      </c>
      <c r="E2299" s="905">
        <v>14748</v>
      </c>
      <c r="F2299" s="841"/>
      <c r="G2299" s="841"/>
      <c r="H2299" s="840">
        <f t="shared" si="70"/>
        <v>0</v>
      </c>
      <c r="I2299" s="840">
        <f t="shared" si="71"/>
        <v>49496</v>
      </c>
    </row>
    <row r="2300" spans="1:9" s="302" customFormat="1" ht="56.25">
      <c r="A2300" s="1068"/>
      <c r="B2300" s="475" t="s">
        <v>2595</v>
      </c>
      <c r="C2300" s="905">
        <v>15000</v>
      </c>
      <c r="D2300" s="905">
        <v>7500</v>
      </c>
      <c r="E2300" s="905">
        <v>7500</v>
      </c>
      <c r="F2300" s="841"/>
      <c r="G2300" s="841"/>
      <c r="H2300" s="840">
        <f t="shared" si="70"/>
        <v>0</v>
      </c>
      <c r="I2300" s="840">
        <f t="shared" si="71"/>
        <v>30000</v>
      </c>
    </row>
    <row r="2301" spans="1:9" s="302" customFormat="1" ht="37.5">
      <c r="A2301" s="1068"/>
      <c r="B2301" s="475" t="s">
        <v>2596</v>
      </c>
      <c r="C2301" s="905">
        <v>8252</v>
      </c>
      <c r="D2301" s="905"/>
      <c r="E2301" s="905">
        <v>8252</v>
      </c>
      <c r="F2301" s="841"/>
      <c r="G2301" s="841"/>
      <c r="H2301" s="840">
        <f t="shared" si="70"/>
        <v>0</v>
      </c>
      <c r="I2301" s="840">
        <f t="shared" si="71"/>
        <v>16504</v>
      </c>
    </row>
    <row r="2302" spans="1:9" s="302" customFormat="1" ht="37.5">
      <c r="A2302" s="1068"/>
      <c r="B2302" s="475" t="s">
        <v>2597</v>
      </c>
      <c r="C2302" s="905">
        <v>12000</v>
      </c>
      <c r="D2302" s="905"/>
      <c r="E2302" s="905">
        <v>12000</v>
      </c>
      <c r="F2302" s="841"/>
      <c r="G2302" s="841"/>
      <c r="H2302" s="840">
        <f t="shared" si="70"/>
        <v>0</v>
      </c>
      <c r="I2302" s="840">
        <f t="shared" si="71"/>
        <v>24000</v>
      </c>
    </row>
    <row r="2303" spans="1:9" s="302" customFormat="1" ht="37.5">
      <c r="A2303" s="1068"/>
      <c r="B2303" s="475" t="s">
        <v>2598</v>
      </c>
      <c r="C2303" s="905">
        <v>10000</v>
      </c>
      <c r="D2303" s="905">
        <v>1748</v>
      </c>
      <c r="E2303" s="905">
        <v>8252</v>
      </c>
      <c r="F2303" s="841"/>
      <c r="G2303" s="841"/>
      <c r="H2303" s="840">
        <f t="shared" si="70"/>
        <v>0</v>
      </c>
      <c r="I2303" s="840">
        <f t="shared" si="71"/>
        <v>20000</v>
      </c>
    </row>
    <row r="2304" spans="1:9" s="302" customFormat="1" ht="56.25">
      <c r="A2304" s="1068"/>
      <c r="B2304" s="475" t="s">
        <v>2816</v>
      </c>
      <c r="C2304" s="915">
        <v>15000</v>
      </c>
      <c r="D2304" s="915">
        <v>15000</v>
      </c>
      <c r="E2304" s="914"/>
      <c r="F2304" s="841"/>
      <c r="G2304" s="841"/>
      <c r="H2304" s="840">
        <f t="shared" si="70"/>
        <v>0</v>
      </c>
      <c r="I2304" s="840">
        <f t="shared" si="71"/>
        <v>30000</v>
      </c>
    </row>
    <row r="2305" spans="1:9" s="302" customFormat="1" ht="56.25">
      <c r="A2305" s="1068"/>
      <c r="B2305" s="535" t="s">
        <v>2817</v>
      </c>
      <c r="C2305" s="915">
        <v>30000</v>
      </c>
      <c r="D2305" s="915">
        <v>30000</v>
      </c>
      <c r="E2305" s="915"/>
      <c r="F2305" s="841"/>
      <c r="G2305" s="841"/>
      <c r="H2305" s="840">
        <f t="shared" si="70"/>
        <v>0</v>
      </c>
      <c r="I2305" s="840">
        <f t="shared" si="71"/>
        <v>60000</v>
      </c>
    </row>
    <row r="2306" spans="1:9" s="302" customFormat="1" ht="37.5">
      <c r="A2306" s="1068"/>
      <c r="B2306" s="535" t="s">
        <v>3099</v>
      </c>
      <c r="C2306" s="915">
        <v>21000</v>
      </c>
      <c r="D2306" s="915">
        <v>21000</v>
      </c>
      <c r="E2306" s="914"/>
      <c r="F2306" s="841"/>
      <c r="G2306" s="841"/>
      <c r="H2306" s="840">
        <f t="shared" si="70"/>
        <v>0</v>
      </c>
      <c r="I2306" s="840">
        <f t="shared" si="71"/>
        <v>42000</v>
      </c>
    </row>
    <row r="2307" spans="1:9" s="302" customFormat="1" ht="56.25">
      <c r="A2307" s="1068"/>
      <c r="B2307" s="475" t="s">
        <v>2818</v>
      </c>
      <c r="C2307" s="908">
        <v>13046</v>
      </c>
      <c r="D2307" s="908"/>
      <c r="E2307" s="905">
        <v>13046</v>
      </c>
      <c r="F2307" s="841"/>
      <c r="G2307" s="841"/>
      <c r="H2307" s="840">
        <f t="shared" si="70"/>
        <v>0</v>
      </c>
      <c r="I2307" s="840">
        <f t="shared" si="71"/>
        <v>26092</v>
      </c>
    </row>
    <row r="2308" spans="1:9" s="302" customFormat="1" ht="56.25">
      <c r="A2308" s="1068"/>
      <c r="B2308" s="475" t="s">
        <v>2816</v>
      </c>
      <c r="C2308" s="908">
        <v>15000</v>
      </c>
      <c r="D2308" s="908">
        <v>15000</v>
      </c>
      <c r="E2308" s="905"/>
      <c r="F2308" s="841"/>
      <c r="G2308" s="841"/>
      <c r="H2308" s="840">
        <f t="shared" si="70"/>
        <v>0</v>
      </c>
      <c r="I2308" s="840">
        <f t="shared" si="71"/>
        <v>30000</v>
      </c>
    </row>
    <row r="2309" spans="1:9" s="302" customFormat="1" ht="56.25">
      <c r="A2309" s="1068"/>
      <c r="B2309" s="475" t="s">
        <v>2819</v>
      </c>
      <c r="C2309" s="908">
        <v>10550</v>
      </c>
      <c r="D2309" s="908">
        <v>2050</v>
      </c>
      <c r="E2309" s="905">
        <v>8500</v>
      </c>
      <c r="F2309" s="841"/>
      <c r="G2309" s="841"/>
      <c r="H2309" s="840">
        <f t="shared" si="70"/>
        <v>0</v>
      </c>
      <c r="I2309" s="840">
        <f t="shared" si="71"/>
        <v>21100</v>
      </c>
    </row>
    <row r="2310" spans="1:9" s="302" customFormat="1" ht="37.5">
      <c r="A2310" s="1068"/>
      <c r="B2310" s="475" t="s">
        <v>1360</v>
      </c>
      <c r="C2310" s="908">
        <v>18000</v>
      </c>
      <c r="D2310" s="908">
        <v>18000</v>
      </c>
      <c r="E2310" s="905"/>
      <c r="F2310" s="841"/>
      <c r="G2310" s="841"/>
      <c r="H2310" s="840">
        <f t="shared" si="70"/>
        <v>0</v>
      </c>
      <c r="I2310" s="840">
        <f t="shared" si="71"/>
        <v>36000</v>
      </c>
    </row>
    <row r="2311" spans="1:9" s="302" customFormat="1" ht="56.25">
      <c r="A2311" s="1068"/>
      <c r="B2311" s="475" t="s">
        <v>2820</v>
      </c>
      <c r="C2311" s="908">
        <v>20000</v>
      </c>
      <c r="D2311" s="908"/>
      <c r="E2311" s="905">
        <v>20000</v>
      </c>
      <c r="F2311" s="841"/>
      <c r="G2311" s="841"/>
      <c r="H2311" s="840">
        <f t="shared" si="70"/>
        <v>0</v>
      </c>
      <c r="I2311" s="840">
        <f t="shared" si="71"/>
        <v>40000</v>
      </c>
    </row>
    <row r="2312" spans="1:9" s="302" customFormat="1" ht="75">
      <c r="A2312" s="1068"/>
      <c r="B2312" s="475" t="s">
        <v>2821</v>
      </c>
      <c r="C2312" s="908">
        <v>12480</v>
      </c>
      <c r="D2312" s="908">
        <v>1680</v>
      </c>
      <c r="E2312" s="905">
        <v>10800</v>
      </c>
      <c r="F2312" s="841"/>
      <c r="G2312" s="841"/>
      <c r="H2312" s="840">
        <f t="shared" si="70"/>
        <v>0</v>
      </c>
      <c r="I2312" s="840">
        <f t="shared" si="71"/>
        <v>24960</v>
      </c>
    </row>
    <row r="2313" spans="1:9" s="302" customFormat="1" ht="93.75">
      <c r="A2313" s="1068"/>
      <c r="B2313" s="475" t="s">
        <v>2822</v>
      </c>
      <c r="C2313" s="908">
        <v>5000</v>
      </c>
      <c r="D2313" s="908">
        <v>5000</v>
      </c>
      <c r="E2313" s="905"/>
      <c r="F2313" s="841"/>
      <c r="G2313" s="841"/>
      <c r="H2313" s="840">
        <f t="shared" ref="H2313:H2376" si="72">E2313+D2313-C2313</f>
        <v>0</v>
      </c>
      <c r="I2313" s="840">
        <f t="shared" ref="I2313:I2376" si="73">SUM(C2313:E2313)</f>
        <v>10000</v>
      </c>
    </row>
    <row r="2314" spans="1:9" s="302" customFormat="1" ht="93.75">
      <c r="A2314" s="1068"/>
      <c r="B2314" s="475" t="s">
        <v>2823</v>
      </c>
      <c r="C2314" s="908">
        <v>26000</v>
      </c>
      <c r="D2314" s="908">
        <v>26000</v>
      </c>
      <c r="E2314" s="905"/>
      <c r="F2314" s="841"/>
      <c r="G2314" s="841"/>
      <c r="H2314" s="840">
        <f t="shared" si="72"/>
        <v>0</v>
      </c>
      <c r="I2314" s="840">
        <f t="shared" si="73"/>
        <v>52000</v>
      </c>
    </row>
    <row r="2315" spans="1:9" s="302" customFormat="1" ht="93.75">
      <c r="A2315" s="1068"/>
      <c r="B2315" s="475" t="s">
        <v>2824</v>
      </c>
      <c r="C2315" s="908">
        <v>18200</v>
      </c>
      <c r="D2315" s="908">
        <v>18200</v>
      </c>
      <c r="E2315" s="905"/>
      <c r="F2315" s="841"/>
      <c r="G2315" s="841"/>
      <c r="H2315" s="840">
        <f t="shared" si="72"/>
        <v>0</v>
      </c>
      <c r="I2315" s="840">
        <f t="shared" si="73"/>
        <v>36400</v>
      </c>
    </row>
    <row r="2316" spans="1:9" s="302" customFormat="1" ht="37.5">
      <c r="A2316" s="1068"/>
      <c r="B2316" s="475" t="s">
        <v>2825</v>
      </c>
      <c r="C2316" s="908">
        <v>16101</v>
      </c>
      <c r="D2316" s="908">
        <v>16101</v>
      </c>
      <c r="E2316" s="905"/>
      <c r="F2316" s="841"/>
      <c r="G2316" s="841"/>
      <c r="H2316" s="840">
        <f t="shared" si="72"/>
        <v>0</v>
      </c>
      <c r="I2316" s="840">
        <f t="shared" si="73"/>
        <v>32202</v>
      </c>
    </row>
    <row r="2317" spans="1:9" s="302" customFormat="1" ht="56.25">
      <c r="A2317" s="1068"/>
      <c r="B2317" s="475" t="s">
        <v>2826</v>
      </c>
      <c r="C2317" s="908">
        <v>17660</v>
      </c>
      <c r="D2317" s="908">
        <v>17660</v>
      </c>
      <c r="E2317" s="905"/>
      <c r="F2317" s="841"/>
      <c r="G2317" s="841"/>
      <c r="H2317" s="840">
        <f t="shared" si="72"/>
        <v>0</v>
      </c>
      <c r="I2317" s="840">
        <f t="shared" si="73"/>
        <v>35320</v>
      </c>
    </row>
    <row r="2318" spans="1:9" s="302" customFormat="1" ht="75">
      <c r="A2318" s="1068"/>
      <c r="B2318" s="475" t="s">
        <v>2827</v>
      </c>
      <c r="C2318" s="908">
        <v>5000</v>
      </c>
      <c r="D2318" s="908">
        <v>5000</v>
      </c>
      <c r="E2318" s="905"/>
      <c r="F2318" s="841"/>
      <c r="G2318" s="841"/>
      <c r="H2318" s="840">
        <f t="shared" si="72"/>
        <v>0</v>
      </c>
      <c r="I2318" s="840">
        <f t="shared" si="73"/>
        <v>10000</v>
      </c>
    </row>
    <row r="2319" spans="1:9" s="302" customFormat="1" ht="56.25">
      <c r="A2319" s="1068"/>
      <c r="B2319" s="475" t="s">
        <v>2828</v>
      </c>
      <c r="C2319" s="908">
        <v>3200</v>
      </c>
      <c r="D2319" s="908">
        <v>3200</v>
      </c>
      <c r="E2319" s="905"/>
      <c r="F2319" s="841"/>
      <c r="G2319" s="841"/>
      <c r="H2319" s="840">
        <f t="shared" si="72"/>
        <v>0</v>
      </c>
      <c r="I2319" s="840">
        <f t="shared" si="73"/>
        <v>6400</v>
      </c>
    </row>
    <row r="2320" spans="1:9" s="302" customFormat="1" ht="75">
      <c r="A2320" s="1068"/>
      <c r="B2320" s="475" t="s">
        <v>2829</v>
      </c>
      <c r="C2320" s="908">
        <v>6500</v>
      </c>
      <c r="D2320" s="908"/>
      <c r="E2320" s="905">
        <v>6500</v>
      </c>
      <c r="F2320" s="841"/>
      <c r="G2320" s="841"/>
      <c r="H2320" s="840">
        <f t="shared" si="72"/>
        <v>0</v>
      </c>
      <c r="I2320" s="840">
        <f t="shared" si="73"/>
        <v>13000</v>
      </c>
    </row>
    <row r="2321" spans="1:9" s="302" customFormat="1" ht="56.25">
      <c r="A2321" s="1068"/>
      <c r="B2321" s="475" t="s">
        <v>2830</v>
      </c>
      <c r="C2321" s="908">
        <v>7200</v>
      </c>
      <c r="D2321" s="908"/>
      <c r="E2321" s="905">
        <v>7200</v>
      </c>
      <c r="F2321" s="841"/>
      <c r="G2321" s="841"/>
      <c r="H2321" s="840">
        <f t="shared" si="72"/>
        <v>0</v>
      </c>
      <c r="I2321" s="840">
        <f t="shared" si="73"/>
        <v>14400</v>
      </c>
    </row>
    <row r="2322" spans="1:9" s="302" customFormat="1" ht="56.25">
      <c r="A2322" s="1068"/>
      <c r="B2322" s="475" t="s">
        <v>2831</v>
      </c>
      <c r="C2322" s="908">
        <v>9000</v>
      </c>
      <c r="D2322" s="908">
        <v>9000</v>
      </c>
      <c r="E2322" s="905"/>
      <c r="F2322" s="841"/>
      <c r="G2322" s="841"/>
      <c r="H2322" s="840">
        <f t="shared" si="72"/>
        <v>0</v>
      </c>
      <c r="I2322" s="840">
        <f t="shared" si="73"/>
        <v>18000</v>
      </c>
    </row>
    <row r="2323" spans="1:9" s="302" customFormat="1" ht="37.5">
      <c r="A2323" s="1068"/>
      <c r="B2323" s="475" t="s">
        <v>2832</v>
      </c>
      <c r="C2323" s="908">
        <v>4000</v>
      </c>
      <c r="D2323" s="908">
        <v>4000</v>
      </c>
      <c r="E2323" s="905"/>
      <c r="F2323" s="841"/>
      <c r="G2323" s="841"/>
      <c r="H2323" s="840">
        <f t="shared" si="72"/>
        <v>0</v>
      </c>
      <c r="I2323" s="840">
        <f t="shared" si="73"/>
        <v>8000</v>
      </c>
    </row>
    <row r="2324" spans="1:9" s="302" customFormat="1" ht="37.5">
      <c r="A2324" s="1068"/>
      <c r="B2324" s="475" t="s">
        <v>2833</v>
      </c>
      <c r="C2324" s="908">
        <v>7000</v>
      </c>
      <c r="D2324" s="908"/>
      <c r="E2324" s="905">
        <v>7000</v>
      </c>
      <c r="F2324" s="841"/>
      <c r="G2324" s="841"/>
      <c r="H2324" s="840">
        <f t="shared" si="72"/>
        <v>0</v>
      </c>
      <c r="I2324" s="840">
        <f t="shared" si="73"/>
        <v>14000</v>
      </c>
    </row>
    <row r="2325" spans="1:9" s="302" customFormat="1" ht="37.5">
      <c r="A2325" s="1068"/>
      <c r="B2325" s="475" t="s">
        <v>2834</v>
      </c>
      <c r="C2325" s="908">
        <v>5000</v>
      </c>
      <c r="D2325" s="908">
        <v>5000</v>
      </c>
      <c r="E2325" s="905"/>
      <c r="F2325" s="841"/>
      <c r="G2325" s="841"/>
      <c r="H2325" s="840">
        <f t="shared" si="72"/>
        <v>0</v>
      </c>
      <c r="I2325" s="840">
        <f t="shared" si="73"/>
        <v>10000</v>
      </c>
    </row>
    <row r="2326" spans="1:9" s="302" customFormat="1" ht="56.25">
      <c r="A2326" s="1068"/>
      <c r="B2326" s="475" t="s">
        <v>2835</v>
      </c>
      <c r="C2326" s="908">
        <v>16000</v>
      </c>
      <c r="D2326" s="908"/>
      <c r="E2326" s="905">
        <v>16000</v>
      </c>
      <c r="F2326" s="841"/>
      <c r="G2326" s="841"/>
      <c r="H2326" s="840">
        <f t="shared" si="72"/>
        <v>0</v>
      </c>
      <c r="I2326" s="840">
        <f t="shared" si="73"/>
        <v>32000</v>
      </c>
    </row>
    <row r="2327" spans="1:9" s="302" customFormat="1" ht="75">
      <c r="A2327" s="1068"/>
      <c r="B2327" s="475" t="s">
        <v>2836</v>
      </c>
      <c r="C2327" s="908">
        <v>8000</v>
      </c>
      <c r="D2327" s="908">
        <v>8000</v>
      </c>
      <c r="E2327" s="905"/>
      <c r="F2327" s="841"/>
      <c r="G2327" s="841"/>
      <c r="H2327" s="840">
        <f t="shared" si="72"/>
        <v>0</v>
      </c>
      <c r="I2327" s="840">
        <f t="shared" si="73"/>
        <v>16000</v>
      </c>
    </row>
    <row r="2328" spans="1:9" s="302" customFormat="1" ht="75">
      <c r="A2328" s="1068"/>
      <c r="B2328" s="475" t="s">
        <v>2837</v>
      </c>
      <c r="C2328" s="908">
        <v>2000</v>
      </c>
      <c r="D2328" s="908">
        <v>2000</v>
      </c>
      <c r="E2328" s="905"/>
      <c r="F2328" s="841"/>
      <c r="G2328" s="841"/>
      <c r="H2328" s="840">
        <f t="shared" si="72"/>
        <v>0</v>
      </c>
      <c r="I2328" s="840">
        <f t="shared" si="73"/>
        <v>4000</v>
      </c>
    </row>
    <row r="2329" spans="1:9" s="302" customFormat="1" ht="56.25">
      <c r="A2329" s="1068"/>
      <c r="B2329" s="475" t="s">
        <v>2838</v>
      </c>
      <c r="C2329" s="908">
        <v>16000</v>
      </c>
      <c r="D2329" s="908"/>
      <c r="E2329" s="905">
        <v>16000</v>
      </c>
      <c r="F2329" s="841"/>
      <c r="G2329" s="841"/>
      <c r="H2329" s="840">
        <f t="shared" si="72"/>
        <v>0</v>
      </c>
      <c r="I2329" s="840">
        <f t="shared" si="73"/>
        <v>32000</v>
      </c>
    </row>
    <row r="2330" spans="1:9" s="302" customFormat="1" ht="37.5">
      <c r="A2330" s="1068"/>
      <c r="B2330" s="475" t="s">
        <v>2839</v>
      </c>
      <c r="C2330" s="908">
        <v>864</v>
      </c>
      <c r="D2330" s="908">
        <v>864</v>
      </c>
      <c r="E2330" s="905"/>
      <c r="F2330" s="841"/>
      <c r="G2330" s="841"/>
      <c r="H2330" s="840">
        <f t="shared" si="72"/>
        <v>0</v>
      </c>
      <c r="I2330" s="840">
        <f t="shared" si="73"/>
        <v>1728</v>
      </c>
    </row>
    <row r="2331" spans="1:9" s="302" customFormat="1" ht="37.5">
      <c r="A2331" s="1068"/>
      <c r="B2331" s="475" t="s">
        <v>2840</v>
      </c>
      <c r="C2331" s="908">
        <v>12587</v>
      </c>
      <c r="D2331" s="908">
        <v>12587</v>
      </c>
      <c r="E2331" s="905"/>
      <c r="F2331" s="841"/>
      <c r="G2331" s="841"/>
      <c r="H2331" s="840">
        <f t="shared" si="72"/>
        <v>0</v>
      </c>
      <c r="I2331" s="840">
        <f t="shared" si="73"/>
        <v>25174</v>
      </c>
    </row>
    <row r="2332" spans="1:9" s="302" customFormat="1" ht="37.5">
      <c r="A2332" s="1068"/>
      <c r="B2332" s="475" t="s">
        <v>2841</v>
      </c>
      <c r="C2332" s="908">
        <v>15554</v>
      </c>
      <c r="D2332" s="908">
        <v>15554</v>
      </c>
      <c r="E2332" s="905"/>
      <c r="F2332" s="841"/>
      <c r="G2332" s="841"/>
      <c r="H2332" s="840">
        <f t="shared" si="72"/>
        <v>0</v>
      </c>
      <c r="I2332" s="840">
        <f t="shared" si="73"/>
        <v>31108</v>
      </c>
    </row>
    <row r="2333" spans="1:9" s="302" customFormat="1" ht="37.5">
      <c r="A2333" s="1068"/>
      <c r="B2333" s="475" t="s">
        <v>2842</v>
      </c>
      <c r="C2333" s="908">
        <v>9170</v>
      </c>
      <c r="D2333" s="908">
        <v>9170</v>
      </c>
      <c r="E2333" s="905"/>
      <c r="F2333" s="841"/>
      <c r="G2333" s="841"/>
      <c r="H2333" s="840">
        <f t="shared" si="72"/>
        <v>0</v>
      </c>
      <c r="I2333" s="840">
        <f t="shared" si="73"/>
        <v>18340</v>
      </c>
    </row>
    <row r="2334" spans="1:9" s="302" customFormat="1" ht="93.75">
      <c r="A2334" s="1068"/>
      <c r="B2334" s="863" t="s">
        <v>2843</v>
      </c>
      <c r="C2334" s="908">
        <v>9000</v>
      </c>
      <c r="D2334" s="908">
        <v>9000</v>
      </c>
      <c r="E2334" s="905"/>
      <c r="F2334" s="841"/>
      <c r="G2334" s="841"/>
      <c r="H2334" s="840">
        <f t="shared" si="72"/>
        <v>0</v>
      </c>
      <c r="I2334" s="840">
        <f t="shared" si="73"/>
        <v>18000</v>
      </c>
    </row>
    <row r="2335" spans="1:9" s="302" customFormat="1" ht="75">
      <c r="A2335" s="1068"/>
      <c r="B2335" s="475" t="s">
        <v>3164</v>
      </c>
      <c r="C2335" s="914">
        <v>5934</v>
      </c>
      <c r="D2335" s="975"/>
      <c r="E2335" s="914">
        <v>5934</v>
      </c>
      <c r="F2335" s="841"/>
      <c r="G2335" s="841"/>
      <c r="H2335" s="840">
        <f t="shared" si="72"/>
        <v>0</v>
      </c>
      <c r="I2335" s="840">
        <f t="shared" si="73"/>
        <v>11868</v>
      </c>
    </row>
    <row r="2336" spans="1:9" s="302" customFormat="1" hidden="1">
      <c r="A2336" s="1068"/>
      <c r="B2336" s="475"/>
      <c r="C2336" s="916"/>
      <c r="D2336" s="916"/>
      <c r="E2336" s="905"/>
      <c r="F2336" s="841"/>
      <c r="G2336" s="841"/>
      <c r="H2336" s="840">
        <f t="shared" si="72"/>
        <v>0</v>
      </c>
      <c r="I2336" s="840">
        <f t="shared" si="73"/>
        <v>0</v>
      </c>
    </row>
    <row r="2337" spans="1:9" s="302" customFormat="1" hidden="1">
      <c r="A2337" s="1068"/>
      <c r="B2337" s="475"/>
      <c r="C2337" s="916"/>
      <c r="D2337" s="916"/>
      <c r="E2337" s="905"/>
      <c r="F2337" s="841"/>
      <c r="G2337" s="841"/>
      <c r="H2337" s="840">
        <f t="shared" si="72"/>
        <v>0</v>
      </c>
      <c r="I2337" s="840">
        <f t="shared" si="73"/>
        <v>0</v>
      </c>
    </row>
    <row r="2338" spans="1:9" s="302" customFormat="1" hidden="1">
      <c r="A2338" s="1068"/>
      <c r="B2338" s="475"/>
      <c r="C2338" s="916"/>
      <c r="D2338" s="916"/>
      <c r="E2338" s="905"/>
      <c r="F2338" s="841"/>
      <c r="G2338" s="841"/>
      <c r="H2338" s="840">
        <f t="shared" si="72"/>
        <v>0</v>
      </c>
      <c r="I2338" s="840">
        <f t="shared" si="73"/>
        <v>0</v>
      </c>
    </row>
    <row r="2339" spans="1:9" s="302" customFormat="1" hidden="1">
      <c r="A2339" s="1068"/>
      <c r="B2339" s="475"/>
      <c r="C2339" s="916"/>
      <c r="D2339" s="916"/>
      <c r="E2339" s="905"/>
      <c r="F2339" s="841"/>
      <c r="G2339" s="841"/>
      <c r="H2339" s="840">
        <f t="shared" si="72"/>
        <v>0</v>
      </c>
      <c r="I2339" s="840">
        <f t="shared" si="73"/>
        <v>0</v>
      </c>
    </row>
    <row r="2340" spans="1:9" s="302" customFormat="1" hidden="1">
      <c r="A2340" s="1068"/>
      <c r="B2340" s="475"/>
      <c r="C2340" s="916"/>
      <c r="D2340" s="916"/>
      <c r="E2340" s="905"/>
      <c r="F2340" s="841"/>
      <c r="G2340" s="841"/>
      <c r="H2340" s="840">
        <f t="shared" si="72"/>
        <v>0</v>
      </c>
      <c r="I2340" s="840">
        <f t="shared" si="73"/>
        <v>0</v>
      </c>
    </row>
    <row r="2341" spans="1:9" s="302" customFormat="1" hidden="1">
      <c r="A2341" s="1068"/>
      <c r="B2341" s="475"/>
      <c r="C2341" s="905"/>
      <c r="D2341" s="931"/>
      <c r="E2341" s="931"/>
      <c r="F2341" s="841"/>
      <c r="G2341" s="841"/>
      <c r="H2341" s="840">
        <f t="shared" si="72"/>
        <v>0</v>
      </c>
      <c r="I2341" s="840">
        <f t="shared" si="73"/>
        <v>0</v>
      </c>
    </row>
    <row r="2342" spans="1:9" s="302" customFormat="1" hidden="1">
      <c r="A2342" s="1068"/>
      <c r="B2342" s="475"/>
      <c r="C2342" s="905"/>
      <c r="D2342" s="931"/>
      <c r="E2342" s="931"/>
      <c r="F2342" s="841"/>
      <c r="G2342" s="841"/>
      <c r="H2342" s="840">
        <f t="shared" si="72"/>
        <v>0</v>
      </c>
      <c r="I2342" s="840">
        <f t="shared" si="73"/>
        <v>0</v>
      </c>
    </row>
    <row r="2343" spans="1:9" s="302" customFormat="1" hidden="1">
      <c r="A2343" s="1071"/>
      <c r="B2343" s="475"/>
      <c r="C2343" s="905"/>
      <c r="D2343" s="931"/>
      <c r="E2343" s="931"/>
      <c r="F2343" s="841"/>
      <c r="G2343" s="841"/>
      <c r="H2343" s="840">
        <f t="shared" si="72"/>
        <v>0</v>
      </c>
      <c r="I2343" s="840">
        <f t="shared" si="73"/>
        <v>0</v>
      </c>
    </row>
    <row r="2344" spans="1:9" s="302" customFormat="1" hidden="1">
      <c r="A2344" s="1071"/>
      <c r="B2344" s="475"/>
      <c r="C2344" s="905"/>
      <c r="D2344" s="931"/>
      <c r="E2344" s="931"/>
      <c r="F2344" s="841"/>
      <c r="G2344" s="841"/>
      <c r="H2344" s="840">
        <f t="shared" si="72"/>
        <v>0</v>
      </c>
      <c r="I2344" s="840">
        <f t="shared" si="73"/>
        <v>0</v>
      </c>
    </row>
    <row r="2345" spans="1:9" s="302" customFormat="1" hidden="1">
      <c r="A2345" s="1071"/>
      <c r="B2345" s="475"/>
      <c r="C2345" s="905"/>
      <c r="D2345" s="931"/>
      <c r="E2345" s="931"/>
      <c r="F2345" s="841"/>
      <c r="G2345" s="841"/>
      <c r="H2345" s="840">
        <f t="shared" si="72"/>
        <v>0</v>
      </c>
      <c r="I2345" s="840">
        <f t="shared" si="73"/>
        <v>0</v>
      </c>
    </row>
    <row r="2346" spans="1:9" s="302" customFormat="1" hidden="1">
      <c r="A2346" s="1071"/>
      <c r="B2346" s="475"/>
      <c r="C2346" s="905"/>
      <c r="D2346" s="931"/>
      <c r="E2346" s="931"/>
      <c r="F2346" s="841"/>
      <c r="G2346" s="841"/>
      <c r="H2346" s="840">
        <f t="shared" si="72"/>
        <v>0</v>
      </c>
      <c r="I2346" s="840">
        <f t="shared" si="73"/>
        <v>0</v>
      </c>
    </row>
    <row r="2347" spans="1:9" s="302" customFormat="1" hidden="1">
      <c r="A2347" s="1071"/>
      <c r="B2347" s="475"/>
      <c r="C2347" s="905"/>
      <c r="D2347" s="931"/>
      <c r="E2347" s="931"/>
      <c r="F2347" s="841"/>
      <c r="G2347" s="841"/>
      <c r="H2347" s="840">
        <f t="shared" si="72"/>
        <v>0</v>
      </c>
      <c r="I2347" s="840">
        <f t="shared" si="73"/>
        <v>0</v>
      </c>
    </row>
    <row r="2348" spans="1:9" s="302" customFormat="1" hidden="1">
      <c r="A2348" s="1071"/>
      <c r="B2348" s="475"/>
      <c r="C2348" s="916"/>
      <c r="D2348" s="916"/>
      <c r="E2348" s="905"/>
      <c r="F2348" s="841"/>
      <c r="G2348" s="841"/>
      <c r="H2348" s="840">
        <f t="shared" si="72"/>
        <v>0</v>
      </c>
      <c r="I2348" s="840">
        <f t="shared" si="73"/>
        <v>0</v>
      </c>
    </row>
    <row r="2349" spans="1:9" s="302" customFormat="1" hidden="1">
      <c r="A2349" s="1071"/>
      <c r="B2349" s="475"/>
      <c r="C2349" s="916"/>
      <c r="D2349" s="916"/>
      <c r="E2349" s="916"/>
      <c r="F2349" s="841"/>
      <c r="G2349" s="841"/>
      <c r="H2349" s="840">
        <f t="shared" si="72"/>
        <v>0</v>
      </c>
      <c r="I2349" s="840">
        <f t="shared" si="73"/>
        <v>0</v>
      </c>
    </row>
    <row r="2350" spans="1:9" s="302" customFormat="1" hidden="1">
      <c r="A2350" s="1071"/>
      <c r="B2350" s="475"/>
      <c r="C2350" s="916"/>
      <c r="D2350" s="916"/>
      <c r="E2350" s="916"/>
      <c r="F2350" s="841"/>
      <c r="G2350" s="841"/>
      <c r="H2350" s="840">
        <f t="shared" si="72"/>
        <v>0</v>
      </c>
      <c r="I2350" s="840">
        <f t="shared" si="73"/>
        <v>0</v>
      </c>
    </row>
    <row r="2351" spans="1:9" s="302" customFormat="1" hidden="1">
      <c r="A2351" s="1071"/>
      <c r="B2351" s="864"/>
      <c r="C2351" s="917"/>
      <c r="D2351" s="917"/>
      <c r="E2351" s="917"/>
      <c r="F2351" s="841"/>
      <c r="G2351" s="841"/>
      <c r="H2351" s="840">
        <f t="shared" si="72"/>
        <v>0</v>
      </c>
      <c r="I2351" s="840">
        <f t="shared" si="73"/>
        <v>0</v>
      </c>
    </row>
    <row r="2352" spans="1:9">
      <c r="A2352" s="1081"/>
      <c r="B2352" s="461" t="s">
        <v>253</v>
      </c>
      <c r="C2352" s="919">
        <f>SUM(C2212:C2351)</f>
        <v>3406872</v>
      </c>
      <c r="D2352" s="919">
        <f>SUM(D2212:D2351)</f>
        <v>1411265</v>
      </c>
      <c r="E2352" s="919">
        <f>SUM(E2212:E2351)</f>
        <v>1995607</v>
      </c>
      <c r="F2352" s="865">
        <f>SUM(F2212:F2351)</f>
        <v>0</v>
      </c>
      <c r="G2352" s="866">
        <f>SUM(G2212:G2351)</f>
        <v>0</v>
      </c>
      <c r="H2352" s="840">
        <f t="shared" si="72"/>
        <v>0</v>
      </c>
      <c r="I2352" s="840">
        <f t="shared" si="73"/>
        <v>6813744</v>
      </c>
    </row>
    <row r="2353" spans="1:9" ht="75">
      <c r="A2353" s="1081" t="s">
        <v>460</v>
      </c>
      <c r="B2353" s="887" t="s">
        <v>952</v>
      </c>
      <c r="C2353" s="530">
        <v>26400</v>
      </c>
      <c r="D2353" s="530">
        <v>26400</v>
      </c>
      <c r="E2353" s="905"/>
      <c r="F2353" s="854"/>
      <c r="G2353" s="854"/>
      <c r="H2353" s="840">
        <f t="shared" si="72"/>
        <v>0</v>
      </c>
      <c r="I2353" s="840">
        <f t="shared" si="73"/>
        <v>52800</v>
      </c>
    </row>
    <row r="2354" spans="1:9" ht="75">
      <c r="A2354" s="1081"/>
      <c r="B2354" s="475" t="s">
        <v>1372</v>
      </c>
      <c r="C2354" s="530">
        <v>30000</v>
      </c>
      <c r="D2354" s="530"/>
      <c r="E2354" s="905">
        <v>30000</v>
      </c>
      <c r="F2354" s="841"/>
      <c r="G2354" s="841"/>
      <c r="H2354" s="840">
        <f t="shared" si="72"/>
        <v>0</v>
      </c>
      <c r="I2354" s="840">
        <f t="shared" si="73"/>
        <v>60000</v>
      </c>
    </row>
    <row r="2355" spans="1:9" ht="56.25">
      <c r="A2355" s="1081"/>
      <c r="B2355" s="475" t="s">
        <v>1373</v>
      </c>
      <c r="C2355" s="530">
        <v>30000</v>
      </c>
      <c r="D2355" s="530">
        <v>30000</v>
      </c>
      <c r="E2355" s="905"/>
      <c r="F2355" s="841"/>
      <c r="G2355" s="841"/>
      <c r="H2355" s="840">
        <f t="shared" si="72"/>
        <v>0</v>
      </c>
      <c r="I2355" s="840">
        <f t="shared" si="73"/>
        <v>60000</v>
      </c>
    </row>
    <row r="2356" spans="1:9" ht="37.5">
      <c r="A2356" s="1081"/>
      <c r="B2356" s="475" t="s">
        <v>1374</v>
      </c>
      <c r="C2356" s="530">
        <v>5000</v>
      </c>
      <c r="D2356" s="530">
        <v>5000</v>
      </c>
      <c r="E2356" s="905"/>
      <c r="F2356" s="841"/>
      <c r="G2356" s="841"/>
      <c r="H2356" s="840">
        <f t="shared" si="72"/>
        <v>0</v>
      </c>
      <c r="I2356" s="840">
        <f t="shared" si="73"/>
        <v>10000</v>
      </c>
    </row>
    <row r="2357" spans="1:9" ht="56.25">
      <c r="A2357" s="1081"/>
      <c r="B2357" s="475" t="s">
        <v>1375</v>
      </c>
      <c r="C2357" s="530">
        <v>20000</v>
      </c>
      <c r="D2357" s="530"/>
      <c r="E2357" s="905">
        <v>20000</v>
      </c>
      <c r="F2357" s="841"/>
      <c r="G2357" s="841"/>
      <c r="H2357" s="840">
        <f t="shared" si="72"/>
        <v>0</v>
      </c>
      <c r="I2357" s="840">
        <f t="shared" si="73"/>
        <v>40000</v>
      </c>
    </row>
    <row r="2358" spans="1:9" ht="56.25">
      <c r="A2358" s="1081"/>
      <c r="B2358" s="475" t="s">
        <v>1665</v>
      </c>
      <c r="C2358" s="530">
        <v>25000</v>
      </c>
      <c r="D2358" s="530">
        <v>25000</v>
      </c>
      <c r="E2358" s="905"/>
      <c r="F2358" s="841"/>
      <c r="G2358" s="841"/>
      <c r="H2358" s="840">
        <f t="shared" si="72"/>
        <v>0</v>
      </c>
      <c r="I2358" s="840">
        <f t="shared" si="73"/>
        <v>50000</v>
      </c>
    </row>
    <row r="2359" spans="1:9" ht="56.25">
      <c r="A2359" s="1081"/>
      <c r="B2359" s="475" t="s">
        <v>1376</v>
      </c>
      <c r="C2359" s="530">
        <v>10000</v>
      </c>
      <c r="D2359" s="530">
        <v>10000</v>
      </c>
      <c r="E2359" s="905"/>
      <c r="F2359" s="841"/>
      <c r="G2359" s="841"/>
      <c r="H2359" s="840">
        <f t="shared" si="72"/>
        <v>0</v>
      </c>
      <c r="I2359" s="840">
        <f t="shared" si="73"/>
        <v>20000</v>
      </c>
    </row>
    <row r="2360" spans="1:9" ht="56.25">
      <c r="A2360" s="1081"/>
      <c r="B2360" s="475" t="s">
        <v>1377</v>
      </c>
      <c r="C2360" s="530">
        <v>15000</v>
      </c>
      <c r="D2360" s="530"/>
      <c r="E2360" s="905">
        <v>15000</v>
      </c>
      <c r="F2360" s="841"/>
      <c r="G2360" s="841"/>
      <c r="H2360" s="840">
        <f t="shared" si="72"/>
        <v>0</v>
      </c>
      <c r="I2360" s="840">
        <f t="shared" si="73"/>
        <v>30000</v>
      </c>
    </row>
    <row r="2361" spans="1:9" ht="75">
      <c r="A2361" s="1081"/>
      <c r="B2361" s="475" t="s">
        <v>1378</v>
      </c>
      <c r="C2361" s="530">
        <v>35000</v>
      </c>
      <c r="D2361" s="530">
        <v>35000</v>
      </c>
      <c r="E2361" s="905"/>
      <c r="F2361" s="841"/>
      <c r="G2361" s="841"/>
      <c r="H2361" s="840">
        <f t="shared" si="72"/>
        <v>0</v>
      </c>
      <c r="I2361" s="840">
        <f t="shared" si="73"/>
        <v>70000</v>
      </c>
    </row>
    <row r="2362" spans="1:9" ht="56.25">
      <c r="A2362" s="1081"/>
      <c r="B2362" s="475" t="s">
        <v>1379</v>
      </c>
      <c r="C2362" s="530">
        <v>20000</v>
      </c>
      <c r="D2362" s="530">
        <v>8330</v>
      </c>
      <c r="E2362" s="905">
        <v>11670</v>
      </c>
      <c r="F2362" s="841"/>
      <c r="G2362" s="841"/>
      <c r="H2362" s="840">
        <f t="shared" si="72"/>
        <v>0</v>
      </c>
      <c r="I2362" s="840">
        <f t="shared" si="73"/>
        <v>40000</v>
      </c>
    </row>
    <row r="2363" spans="1:9" ht="75">
      <c r="A2363" s="1081"/>
      <c r="B2363" s="475" t="s">
        <v>1380</v>
      </c>
      <c r="C2363" s="530">
        <v>6278</v>
      </c>
      <c r="D2363" s="530">
        <v>6278</v>
      </c>
      <c r="E2363" s="905"/>
      <c r="F2363" s="841"/>
      <c r="G2363" s="841"/>
      <c r="H2363" s="840">
        <f t="shared" si="72"/>
        <v>0</v>
      </c>
      <c r="I2363" s="840">
        <f t="shared" si="73"/>
        <v>12556</v>
      </c>
    </row>
    <row r="2364" spans="1:9" ht="56.25">
      <c r="A2364" s="1081"/>
      <c r="B2364" s="475" t="s">
        <v>1381</v>
      </c>
      <c r="C2364" s="530">
        <v>2900</v>
      </c>
      <c r="D2364" s="530">
        <v>2900</v>
      </c>
      <c r="E2364" s="905"/>
      <c r="F2364" s="841"/>
      <c r="G2364" s="841"/>
      <c r="H2364" s="840">
        <f t="shared" si="72"/>
        <v>0</v>
      </c>
      <c r="I2364" s="840">
        <f t="shared" si="73"/>
        <v>5800</v>
      </c>
    </row>
    <row r="2365" spans="1:9" ht="56.25">
      <c r="A2365" s="1081"/>
      <c r="B2365" s="475" t="s">
        <v>1382</v>
      </c>
      <c r="C2365" s="530">
        <v>2900</v>
      </c>
      <c r="D2365" s="530">
        <v>2900</v>
      </c>
      <c r="E2365" s="905"/>
      <c r="F2365" s="841"/>
      <c r="G2365" s="841"/>
      <c r="H2365" s="840">
        <f t="shared" si="72"/>
        <v>0</v>
      </c>
      <c r="I2365" s="840">
        <f t="shared" si="73"/>
        <v>5800</v>
      </c>
    </row>
    <row r="2366" spans="1:9" ht="37.5">
      <c r="A2366" s="1081"/>
      <c r="B2366" s="475" t="s">
        <v>1383</v>
      </c>
      <c r="C2366" s="530">
        <v>15000</v>
      </c>
      <c r="D2366" s="530"/>
      <c r="E2366" s="530">
        <v>15000</v>
      </c>
      <c r="F2366" s="841"/>
      <c r="G2366" s="841"/>
      <c r="H2366" s="840">
        <f t="shared" si="72"/>
        <v>0</v>
      </c>
      <c r="I2366" s="840">
        <f t="shared" si="73"/>
        <v>30000</v>
      </c>
    </row>
    <row r="2367" spans="1:9" ht="37.5">
      <c r="A2367" s="1081"/>
      <c r="B2367" s="475" t="s">
        <v>1384</v>
      </c>
      <c r="C2367" s="530">
        <v>15000</v>
      </c>
      <c r="D2367" s="530"/>
      <c r="E2367" s="530">
        <v>15000</v>
      </c>
      <c r="F2367" s="841"/>
      <c r="G2367" s="841"/>
      <c r="H2367" s="840">
        <f t="shared" si="72"/>
        <v>0</v>
      </c>
      <c r="I2367" s="840">
        <f t="shared" si="73"/>
        <v>30000</v>
      </c>
    </row>
    <row r="2368" spans="1:9" ht="56.25">
      <c r="A2368" s="1081"/>
      <c r="B2368" s="475" t="s">
        <v>1385</v>
      </c>
      <c r="C2368" s="530">
        <v>15000</v>
      </c>
      <c r="D2368" s="530"/>
      <c r="E2368" s="530">
        <v>15000</v>
      </c>
      <c r="F2368" s="841"/>
      <c r="G2368" s="841"/>
      <c r="H2368" s="840">
        <f t="shared" si="72"/>
        <v>0</v>
      </c>
      <c r="I2368" s="840">
        <f t="shared" si="73"/>
        <v>30000</v>
      </c>
    </row>
    <row r="2369" spans="1:9" ht="37.5">
      <c r="A2369" s="1081"/>
      <c r="B2369" s="475" t="s">
        <v>1386</v>
      </c>
      <c r="C2369" s="530">
        <v>15000</v>
      </c>
      <c r="D2369" s="530"/>
      <c r="E2369" s="530">
        <v>15000</v>
      </c>
      <c r="F2369" s="841"/>
      <c r="G2369" s="841"/>
      <c r="H2369" s="840">
        <f t="shared" si="72"/>
        <v>0</v>
      </c>
      <c r="I2369" s="840">
        <f t="shared" si="73"/>
        <v>30000</v>
      </c>
    </row>
    <row r="2370" spans="1:9" ht="56.25">
      <c r="A2370" s="1081"/>
      <c r="B2370" s="475" t="s">
        <v>1387</v>
      </c>
      <c r="C2370" s="530">
        <v>15000</v>
      </c>
      <c r="D2370" s="530"/>
      <c r="E2370" s="530">
        <v>15000</v>
      </c>
      <c r="F2370" s="841"/>
      <c r="G2370" s="841"/>
      <c r="H2370" s="840">
        <f t="shared" si="72"/>
        <v>0</v>
      </c>
      <c r="I2370" s="840">
        <f t="shared" si="73"/>
        <v>30000</v>
      </c>
    </row>
    <row r="2371" spans="1:9" ht="131.25">
      <c r="A2371" s="1081"/>
      <c r="B2371" s="475" t="s">
        <v>2412</v>
      </c>
      <c r="C2371" s="530">
        <v>6500</v>
      </c>
      <c r="D2371" s="530">
        <v>6500</v>
      </c>
      <c r="E2371" s="905"/>
      <c r="F2371" s="841"/>
      <c r="G2371" s="841"/>
      <c r="H2371" s="840">
        <f t="shared" si="72"/>
        <v>0</v>
      </c>
      <c r="I2371" s="840">
        <f t="shared" si="73"/>
        <v>13000</v>
      </c>
    </row>
    <row r="2372" spans="1:9" ht="37.5">
      <c r="A2372" s="1081"/>
      <c r="B2372" s="475" t="s">
        <v>2413</v>
      </c>
      <c r="C2372" s="911">
        <v>30000</v>
      </c>
      <c r="D2372" s="911">
        <v>30000</v>
      </c>
      <c r="E2372" s="911"/>
      <c r="F2372" s="841"/>
      <c r="G2372" s="841"/>
      <c r="H2372" s="840">
        <f t="shared" si="72"/>
        <v>0</v>
      </c>
      <c r="I2372" s="840">
        <f t="shared" si="73"/>
        <v>60000</v>
      </c>
    </row>
    <row r="2373" spans="1:9" ht="56.25">
      <c r="A2373" s="1081"/>
      <c r="B2373" s="475" t="s">
        <v>3177</v>
      </c>
      <c r="C2373" s="908">
        <v>20000</v>
      </c>
      <c r="D2373" s="908">
        <v>20000</v>
      </c>
      <c r="E2373" s="905">
        <f>20000-20000</f>
        <v>0</v>
      </c>
      <c r="F2373" s="841"/>
      <c r="G2373" s="841"/>
      <c r="H2373" s="840">
        <f t="shared" si="72"/>
        <v>0</v>
      </c>
      <c r="I2373" s="840">
        <f t="shared" si="73"/>
        <v>40000</v>
      </c>
    </row>
    <row r="2374" spans="1:9" ht="37.5">
      <c r="A2374" s="1081"/>
      <c r="B2374" s="475" t="s">
        <v>2129</v>
      </c>
      <c r="C2374" s="908">
        <v>5000</v>
      </c>
      <c r="D2374" s="908">
        <v>5000</v>
      </c>
      <c r="E2374" s="905"/>
      <c r="F2374" s="841"/>
      <c r="G2374" s="841"/>
      <c r="H2374" s="840">
        <f t="shared" si="72"/>
        <v>0</v>
      </c>
      <c r="I2374" s="840">
        <f t="shared" si="73"/>
        <v>10000</v>
      </c>
    </row>
    <row r="2375" spans="1:9" ht="37.5">
      <c r="A2375" s="1081"/>
      <c r="B2375" s="475" t="s">
        <v>2130</v>
      </c>
      <c r="C2375" s="908">
        <v>30000</v>
      </c>
      <c r="D2375" s="908">
        <v>30000</v>
      </c>
      <c r="E2375" s="905"/>
      <c r="F2375" s="841"/>
      <c r="G2375" s="841"/>
      <c r="H2375" s="840">
        <f t="shared" si="72"/>
        <v>0</v>
      </c>
      <c r="I2375" s="840">
        <f t="shared" si="73"/>
        <v>60000</v>
      </c>
    </row>
    <row r="2376" spans="1:9" ht="37.5">
      <c r="A2376" s="1081"/>
      <c r="B2376" s="475" t="s">
        <v>2131</v>
      </c>
      <c r="C2376" s="908">
        <v>6500</v>
      </c>
      <c r="D2376" s="908"/>
      <c r="E2376" s="905">
        <v>6500</v>
      </c>
      <c r="F2376" s="841"/>
      <c r="G2376" s="841"/>
      <c r="H2376" s="840">
        <f t="shared" si="72"/>
        <v>0</v>
      </c>
      <c r="I2376" s="840">
        <f t="shared" si="73"/>
        <v>13000</v>
      </c>
    </row>
    <row r="2377" spans="1:9" ht="56.25">
      <c r="A2377" s="1081"/>
      <c r="B2377" s="475" t="s">
        <v>2132</v>
      </c>
      <c r="C2377" s="908">
        <v>15000</v>
      </c>
      <c r="D2377" s="908"/>
      <c r="E2377" s="905">
        <v>15000</v>
      </c>
      <c r="F2377" s="841"/>
      <c r="G2377" s="841"/>
      <c r="H2377" s="840">
        <f t="shared" ref="H2377:H2440" si="74">E2377+D2377-C2377</f>
        <v>0</v>
      </c>
      <c r="I2377" s="840">
        <f t="shared" ref="I2377:I2440" si="75">SUM(C2377:E2377)</f>
        <v>30000</v>
      </c>
    </row>
    <row r="2378" spans="1:9" ht="37.5">
      <c r="A2378" s="1081"/>
      <c r="B2378" s="475" t="s">
        <v>2133</v>
      </c>
      <c r="C2378" s="908">
        <v>10000</v>
      </c>
      <c r="D2378" s="908"/>
      <c r="E2378" s="905">
        <v>10000</v>
      </c>
      <c r="F2378" s="841"/>
      <c r="G2378" s="841"/>
      <c r="H2378" s="840">
        <f t="shared" si="74"/>
        <v>0</v>
      </c>
      <c r="I2378" s="840">
        <f t="shared" si="75"/>
        <v>20000</v>
      </c>
    </row>
    <row r="2379" spans="1:9" ht="93.75">
      <c r="A2379" s="1081"/>
      <c r="B2379" s="475" t="s">
        <v>2134</v>
      </c>
      <c r="C2379" s="908">
        <v>15000</v>
      </c>
      <c r="D2379" s="908">
        <v>15000</v>
      </c>
      <c r="E2379" s="905"/>
      <c r="F2379" s="841"/>
      <c r="G2379" s="841"/>
      <c r="H2379" s="840">
        <f t="shared" si="74"/>
        <v>0</v>
      </c>
      <c r="I2379" s="840">
        <f t="shared" si="75"/>
        <v>30000</v>
      </c>
    </row>
    <row r="2380" spans="1:9" ht="37.5">
      <c r="A2380" s="1081"/>
      <c r="B2380" s="475" t="s">
        <v>2135</v>
      </c>
      <c r="C2380" s="908">
        <v>9000</v>
      </c>
      <c r="D2380" s="908">
        <v>9000</v>
      </c>
      <c r="E2380" s="905"/>
      <c r="F2380" s="841"/>
      <c r="G2380" s="841"/>
      <c r="H2380" s="840">
        <f t="shared" si="74"/>
        <v>0</v>
      </c>
      <c r="I2380" s="840">
        <f t="shared" si="75"/>
        <v>18000</v>
      </c>
    </row>
    <row r="2381" spans="1:9" ht="93.75">
      <c r="A2381" s="1081"/>
      <c r="B2381" s="475" t="s">
        <v>3100</v>
      </c>
      <c r="C2381" s="908">
        <v>20000</v>
      </c>
      <c r="D2381" s="908">
        <v>20000</v>
      </c>
      <c r="E2381" s="905"/>
      <c r="F2381" s="841"/>
      <c r="G2381" s="841"/>
      <c r="H2381" s="840">
        <f t="shared" si="74"/>
        <v>0</v>
      </c>
      <c r="I2381" s="840">
        <f t="shared" si="75"/>
        <v>40000</v>
      </c>
    </row>
    <row r="2382" spans="1:9" ht="56.25">
      <c r="A2382" s="1081"/>
      <c r="B2382" s="475" t="s">
        <v>2136</v>
      </c>
      <c r="C2382" s="908">
        <v>26605</v>
      </c>
      <c r="D2382" s="908">
        <v>26605</v>
      </c>
      <c r="E2382" s="905"/>
      <c r="F2382" s="841"/>
      <c r="G2382" s="841"/>
      <c r="H2382" s="840">
        <f t="shared" si="74"/>
        <v>0</v>
      </c>
      <c r="I2382" s="840">
        <f t="shared" si="75"/>
        <v>53210</v>
      </c>
    </row>
    <row r="2383" spans="1:9" ht="56.25">
      <c r="A2383" s="1081"/>
      <c r="B2383" s="475" t="s">
        <v>2599</v>
      </c>
      <c r="C2383" s="905">
        <v>50000</v>
      </c>
      <c r="D2383" s="905">
        <v>40000</v>
      </c>
      <c r="E2383" s="905">
        <v>10000</v>
      </c>
      <c r="F2383" s="841"/>
      <c r="G2383" s="841"/>
      <c r="H2383" s="840">
        <f t="shared" si="74"/>
        <v>0</v>
      </c>
      <c r="I2383" s="840">
        <f t="shared" si="75"/>
        <v>100000</v>
      </c>
    </row>
    <row r="2384" spans="1:9" ht="75">
      <c r="A2384" s="1081"/>
      <c r="B2384" s="475" t="s">
        <v>2844</v>
      </c>
      <c r="C2384" s="908">
        <v>3000</v>
      </c>
      <c r="D2384" s="908">
        <v>3000</v>
      </c>
      <c r="E2384" s="905"/>
      <c r="F2384" s="884"/>
      <c r="G2384" s="841"/>
      <c r="H2384" s="840">
        <f t="shared" si="74"/>
        <v>0</v>
      </c>
      <c r="I2384" s="840">
        <f t="shared" si="75"/>
        <v>6000</v>
      </c>
    </row>
    <row r="2385" spans="1:9" ht="75">
      <c r="A2385" s="1081"/>
      <c r="B2385" s="475" t="s">
        <v>2845</v>
      </c>
      <c r="C2385" s="908">
        <v>20000</v>
      </c>
      <c r="D2385" s="908">
        <v>20000</v>
      </c>
      <c r="E2385" s="905"/>
      <c r="F2385" s="841"/>
      <c r="G2385" s="841"/>
      <c r="H2385" s="840">
        <f t="shared" si="74"/>
        <v>0</v>
      </c>
      <c r="I2385" s="840">
        <f t="shared" si="75"/>
        <v>40000</v>
      </c>
    </row>
    <row r="2386" spans="1:9" ht="56.25">
      <c r="A2386" s="1081"/>
      <c r="B2386" s="475" t="s">
        <v>2846</v>
      </c>
      <c r="C2386" s="908">
        <v>15000</v>
      </c>
      <c r="D2386" s="908"/>
      <c r="E2386" s="905">
        <v>15000</v>
      </c>
      <c r="F2386" s="841"/>
      <c r="G2386" s="841"/>
      <c r="H2386" s="840">
        <f t="shared" si="74"/>
        <v>0</v>
      </c>
      <c r="I2386" s="840">
        <f t="shared" si="75"/>
        <v>30000</v>
      </c>
    </row>
    <row r="2387" spans="1:9" ht="56.25">
      <c r="A2387" s="1081"/>
      <c r="B2387" s="475" t="s">
        <v>2847</v>
      </c>
      <c r="C2387" s="908">
        <v>15000</v>
      </c>
      <c r="D2387" s="908">
        <v>15000</v>
      </c>
      <c r="E2387" s="905"/>
      <c r="F2387" s="841"/>
      <c r="G2387" s="841"/>
      <c r="H2387" s="840">
        <f t="shared" si="74"/>
        <v>0</v>
      </c>
      <c r="I2387" s="840">
        <f t="shared" si="75"/>
        <v>30000</v>
      </c>
    </row>
    <row r="2388" spans="1:9" ht="93.75">
      <c r="A2388" s="1081"/>
      <c r="B2388" s="475" t="s">
        <v>2848</v>
      </c>
      <c r="C2388" s="908">
        <v>40000</v>
      </c>
      <c r="D2388" s="908">
        <v>40000</v>
      </c>
      <c r="E2388" s="905"/>
      <c r="F2388" s="841"/>
      <c r="G2388" s="841"/>
      <c r="H2388" s="840">
        <f t="shared" si="74"/>
        <v>0</v>
      </c>
      <c r="I2388" s="840">
        <f t="shared" si="75"/>
        <v>80000</v>
      </c>
    </row>
    <row r="2389" spans="1:9" s="302" customFormat="1" ht="56.25">
      <c r="A2389" s="1068"/>
      <c r="B2389" s="475" t="s">
        <v>2849</v>
      </c>
      <c r="C2389" s="908">
        <v>5589</v>
      </c>
      <c r="D2389" s="908">
        <v>5589</v>
      </c>
      <c r="E2389" s="905"/>
      <c r="F2389" s="841"/>
      <c r="G2389" s="841"/>
      <c r="H2389" s="840">
        <f t="shared" si="74"/>
        <v>0</v>
      </c>
      <c r="I2389" s="840">
        <f t="shared" si="75"/>
        <v>11178</v>
      </c>
    </row>
    <row r="2390" spans="1:9" s="302" customFormat="1" ht="112.5">
      <c r="A2390" s="1071"/>
      <c r="B2390" s="475" t="s">
        <v>2850</v>
      </c>
      <c r="C2390" s="908">
        <v>10000</v>
      </c>
      <c r="D2390" s="932">
        <v>10000</v>
      </c>
      <c r="E2390" s="932"/>
      <c r="F2390" s="841"/>
      <c r="G2390" s="841"/>
      <c r="H2390" s="840">
        <f t="shared" si="74"/>
        <v>0</v>
      </c>
      <c r="I2390" s="840">
        <f t="shared" si="75"/>
        <v>20000</v>
      </c>
    </row>
    <row r="2391" spans="1:9" s="302" customFormat="1" ht="75">
      <c r="A2391" s="1071"/>
      <c r="B2391" s="475" t="s">
        <v>2851</v>
      </c>
      <c r="C2391" s="915">
        <v>13000</v>
      </c>
      <c r="D2391" s="915">
        <v>6000</v>
      </c>
      <c r="E2391" s="914">
        <v>7000</v>
      </c>
      <c r="F2391" s="841"/>
      <c r="G2391" s="841"/>
      <c r="H2391" s="840">
        <f t="shared" si="74"/>
        <v>0</v>
      </c>
      <c r="I2391" s="840">
        <f t="shared" si="75"/>
        <v>26000</v>
      </c>
    </row>
    <row r="2392" spans="1:9" s="302" customFormat="1" ht="56.25">
      <c r="A2392" s="1071"/>
      <c r="B2392" s="475" t="s">
        <v>2852</v>
      </c>
      <c r="C2392" s="908">
        <v>5000</v>
      </c>
      <c r="D2392" s="908">
        <v>5000</v>
      </c>
      <c r="E2392" s="905"/>
      <c r="F2392" s="841"/>
      <c r="G2392" s="841"/>
      <c r="H2392" s="840">
        <f t="shared" si="74"/>
        <v>0</v>
      </c>
      <c r="I2392" s="840">
        <f t="shared" si="75"/>
        <v>10000</v>
      </c>
    </row>
    <row r="2393" spans="1:9" s="302" customFormat="1" ht="37.5">
      <c r="A2393" s="1071"/>
      <c r="B2393" s="475" t="s">
        <v>2853</v>
      </c>
      <c r="C2393" s="908">
        <v>13500</v>
      </c>
      <c r="D2393" s="908"/>
      <c r="E2393" s="908">
        <v>13500</v>
      </c>
      <c r="F2393" s="841"/>
      <c r="G2393" s="841"/>
      <c r="H2393" s="840">
        <f t="shared" si="74"/>
        <v>0</v>
      </c>
      <c r="I2393" s="840">
        <f t="shared" si="75"/>
        <v>27000</v>
      </c>
    </row>
    <row r="2394" spans="1:9" s="302" customFormat="1" ht="75">
      <c r="A2394" s="1071"/>
      <c r="B2394" s="475" t="s">
        <v>2854</v>
      </c>
      <c r="C2394" s="905">
        <v>12500</v>
      </c>
      <c r="D2394" s="906"/>
      <c r="E2394" s="906">
        <v>12500</v>
      </c>
      <c r="F2394" s="841"/>
      <c r="G2394" s="841"/>
      <c r="H2394" s="840">
        <f t="shared" si="74"/>
        <v>0</v>
      </c>
      <c r="I2394" s="840">
        <f t="shared" si="75"/>
        <v>25000</v>
      </c>
    </row>
    <row r="2395" spans="1:9" s="302" customFormat="1" ht="56.25">
      <c r="A2395" s="1071"/>
      <c r="B2395" s="475" t="s">
        <v>2855</v>
      </c>
      <c r="C2395" s="908">
        <v>13000</v>
      </c>
      <c r="D2395" s="908"/>
      <c r="E2395" s="908">
        <v>13000</v>
      </c>
      <c r="F2395" s="841"/>
      <c r="G2395" s="841"/>
      <c r="H2395" s="840">
        <f t="shared" si="74"/>
        <v>0</v>
      </c>
      <c r="I2395" s="840">
        <f t="shared" si="75"/>
        <v>26000</v>
      </c>
    </row>
    <row r="2396" spans="1:9" s="302" customFormat="1" ht="56.25">
      <c r="A2396" s="1071"/>
      <c r="B2396" s="475" t="s">
        <v>2856</v>
      </c>
      <c r="C2396" s="908">
        <v>8000</v>
      </c>
      <c r="D2396" s="908"/>
      <c r="E2396" s="905">
        <v>8000</v>
      </c>
      <c r="F2396" s="841"/>
      <c r="G2396" s="841"/>
      <c r="H2396" s="840">
        <f t="shared" si="74"/>
        <v>0</v>
      </c>
      <c r="I2396" s="840">
        <f t="shared" si="75"/>
        <v>16000</v>
      </c>
    </row>
    <row r="2397" spans="1:9" s="302" customFormat="1" ht="37.5">
      <c r="A2397" s="1071"/>
      <c r="B2397" s="475" t="s">
        <v>2857</v>
      </c>
      <c r="C2397" s="908">
        <v>10000</v>
      </c>
      <c r="D2397" s="908"/>
      <c r="E2397" s="905">
        <v>10000</v>
      </c>
      <c r="F2397" s="841"/>
      <c r="G2397" s="841"/>
      <c r="H2397" s="840">
        <f t="shared" si="74"/>
        <v>0</v>
      </c>
      <c r="I2397" s="840">
        <f t="shared" si="75"/>
        <v>20000</v>
      </c>
    </row>
    <row r="2398" spans="1:9" s="302" customFormat="1" ht="93.75">
      <c r="A2398" s="1071"/>
      <c r="B2398" s="475" t="s">
        <v>2858</v>
      </c>
      <c r="C2398" s="908">
        <v>6000</v>
      </c>
      <c r="D2398" s="908">
        <v>6000</v>
      </c>
      <c r="E2398" s="905"/>
      <c r="F2398" s="841"/>
      <c r="G2398" s="841"/>
      <c r="H2398" s="840">
        <f t="shared" si="74"/>
        <v>0</v>
      </c>
      <c r="I2398" s="840">
        <f t="shared" si="75"/>
        <v>12000</v>
      </c>
    </row>
    <row r="2399" spans="1:9" s="302" customFormat="1" ht="18" hidden="1" customHeight="1">
      <c r="A2399" s="1071"/>
      <c r="B2399" s="887"/>
      <c r="C2399" s="916"/>
      <c r="D2399" s="916"/>
      <c r="E2399" s="907"/>
      <c r="F2399" s="841"/>
      <c r="G2399" s="841"/>
      <c r="H2399" s="840">
        <f t="shared" si="74"/>
        <v>0</v>
      </c>
      <c r="I2399" s="840">
        <f t="shared" si="75"/>
        <v>0</v>
      </c>
    </row>
    <row r="2400" spans="1:9" s="302" customFormat="1" ht="18" hidden="1" customHeight="1">
      <c r="A2400" s="1071"/>
      <c r="B2400" s="887"/>
      <c r="C2400" s="916"/>
      <c r="D2400" s="916"/>
      <c r="E2400" s="907"/>
      <c r="F2400" s="841"/>
      <c r="G2400" s="841"/>
      <c r="H2400" s="840">
        <f t="shared" si="74"/>
        <v>0</v>
      </c>
      <c r="I2400" s="840">
        <f t="shared" si="75"/>
        <v>0</v>
      </c>
    </row>
    <row r="2401" spans="1:9" s="302" customFormat="1" ht="18" hidden="1" customHeight="1">
      <c r="A2401" s="1071"/>
      <c r="B2401" s="475"/>
      <c r="C2401" s="916"/>
      <c r="D2401" s="916"/>
      <c r="E2401" s="905"/>
      <c r="F2401" s="841"/>
      <c r="G2401" s="841"/>
      <c r="H2401" s="840">
        <f t="shared" si="74"/>
        <v>0</v>
      </c>
      <c r="I2401" s="840">
        <f t="shared" si="75"/>
        <v>0</v>
      </c>
    </row>
    <row r="2402" spans="1:9" s="302" customFormat="1" ht="18" hidden="1" customHeight="1">
      <c r="A2402" s="1071"/>
      <c r="B2402" s="475"/>
      <c r="C2402" s="916"/>
      <c r="D2402" s="916"/>
      <c r="E2402" s="905"/>
      <c r="F2402" s="841"/>
      <c r="G2402" s="841"/>
      <c r="H2402" s="840">
        <f t="shared" si="74"/>
        <v>0</v>
      </c>
      <c r="I2402" s="840">
        <f t="shared" si="75"/>
        <v>0</v>
      </c>
    </row>
    <row r="2403" spans="1:9" s="302" customFormat="1" ht="18" hidden="1" customHeight="1">
      <c r="A2403" s="1071"/>
      <c r="B2403" s="475"/>
      <c r="C2403" s="916"/>
      <c r="D2403" s="916"/>
      <c r="E2403" s="905"/>
      <c r="F2403" s="841"/>
      <c r="G2403" s="841"/>
      <c r="H2403" s="840">
        <f t="shared" si="74"/>
        <v>0</v>
      </c>
      <c r="I2403" s="840">
        <f t="shared" si="75"/>
        <v>0</v>
      </c>
    </row>
    <row r="2404" spans="1:9" s="302" customFormat="1" ht="18" hidden="1" customHeight="1">
      <c r="A2404" s="1071"/>
      <c r="B2404" s="475"/>
      <c r="C2404" s="916"/>
      <c r="D2404" s="916"/>
      <c r="E2404" s="905"/>
      <c r="F2404" s="841"/>
      <c r="G2404" s="841"/>
      <c r="H2404" s="840">
        <f t="shared" si="74"/>
        <v>0</v>
      </c>
      <c r="I2404" s="840">
        <f t="shared" si="75"/>
        <v>0</v>
      </c>
    </row>
    <row r="2405" spans="1:9" s="302" customFormat="1" ht="18" hidden="1" customHeight="1">
      <c r="A2405" s="1071"/>
      <c r="B2405" s="475"/>
      <c r="C2405" s="916"/>
      <c r="D2405" s="916"/>
      <c r="E2405" s="905"/>
      <c r="F2405" s="841"/>
      <c r="G2405" s="841"/>
      <c r="H2405" s="840">
        <f t="shared" si="74"/>
        <v>0</v>
      </c>
      <c r="I2405" s="840">
        <f t="shared" si="75"/>
        <v>0</v>
      </c>
    </row>
    <row r="2406" spans="1:9" s="302" customFormat="1" ht="18" hidden="1" customHeight="1">
      <c r="A2406" s="1071"/>
      <c r="B2406" s="475"/>
      <c r="C2406" s="916"/>
      <c r="D2406" s="916"/>
      <c r="E2406" s="905"/>
      <c r="F2406" s="841"/>
      <c r="G2406" s="841"/>
      <c r="H2406" s="840">
        <f t="shared" si="74"/>
        <v>0</v>
      </c>
      <c r="I2406" s="840">
        <f t="shared" si="75"/>
        <v>0</v>
      </c>
    </row>
    <row r="2407" spans="1:9" s="302" customFormat="1" ht="18" hidden="1" customHeight="1">
      <c r="A2407" s="1071"/>
      <c r="B2407" s="475"/>
      <c r="C2407" s="916"/>
      <c r="D2407" s="916"/>
      <c r="E2407" s="905"/>
      <c r="F2407" s="841"/>
      <c r="G2407" s="841"/>
      <c r="H2407" s="840">
        <f t="shared" si="74"/>
        <v>0</v>
      </c>
      <c r="I2407" s="840">
        <f t="shared" si="75"/>
        <v>0</v>
      </c>
    </row>
    <row r="2408" spans="1:9" s="302" customFormat="1" ht="18" hidden="1" customHeight="1">
      <c r="A2408" s="1071"/>
      <c r="B2408" s="475"/>
      <c r="C2408" s="916"/>
      <c r="D2408" s="916"/>
      <c r="E2408" s="905"/>
      <c r="F2408" s="841"/>
      <c r="G2408" s="841"/>
      <c r="H2408" s="840">
        <f t="shared" si="74"/>
        <v>0</v>
      </c>
      <c r="I2408" s="840">
        <f t="shared" si="75"/>
        <v>0</v>
      </c>
    </row>
    <row r="2409" spans="1:9" s="302" customFormat="1" ht="18" hidden="1" customHeight="1">
      <c r="A2409" s="1071"/>
      <c r="B2409" s="475"/>
      <c r="C2409" s="916"/>
      <c r="D2409" s="916"/>
      <c r="E2409" s="905"/>
      <c r="F2409" s="841"/>
      <c r="G2409" s="841"/>
      <c r="H2409" s="840">
        <f t="shared" si="74"/>
        <v>0</v>
      </c>
      <c r="I2409" s="840">
        <f t="shared" si="75"/>
        <v>0</v>
      </c>
    </row>
    <row r="2410" spans="1:9" s="302" customFormat="1" ht="18" hidden="1" customHeight="1">
      <c r="A2410" s="1071"/>
      <c r="B2410" s="475"/>
      <c r="C2410" s="916"/>
      <c r="D2410" s="940"/>
      <c r="E2410" s="940"/>
      <c r="F2410" s="841"/>
      <c r="G2410" s="841"/>
      <c r="H2410" s="840">
        <f t="shared" si="74"/>
        <v>0</v>
      </c>
      <c r="I2410" s="840">
        <f t="shared" si="75"/>
        <v>0</v>
      </c>
    </row>
    <row r="2411" spans="1:9" s="302" customFormat="1" ht="18" hidden="1" customHeight="1">
      <c r="A2411" s="1071"/>
      <c r="B2411" s="475"/>
      <c r="C2411" s="916"/>
      <c r="D2411" s="916"/>
      <c r="E2411" s="905"/>
      <c r="F2411" s="841"/>
      <c r="G2411" s="841"/>
      <c r="H2411" s="840">
        <f t="shared" si="74"/>
        <v>0</v>
      </c>
      <c r="I2411" s="840">
        <f t="shared" si="75"/>
        <v>0</v>
      </c>
    </row>
    <row r="2412" spans="1:9" s="302" customFormat="1" ht="18" hidden="1" customHeight="1">
      <c r="A2412" s="1071"/>
      <c r="B2412" s="475"/>
      <c r="C2412" s="916"/>
      <c r="D2412" s="916"/>
      <c r="E2412" s="905"/>
      <c r="F2412" s="841"/>
      <c r="G2412" s="841"/>
      <c r="H2412" s="840">
        <f t="shared" si="74"/>
        <v>0</v>
      </c>
      <c r="I2412" s="840">
        <f t="shared" si="75"/>
        <v>0</v>
      </c>
    </row>
    <row r="2413" spans="1:9" s="302" customFormat="1" hidden="1">
      <c r="A2413" s="1071"/>
      <c r="B2413" s="475"/>
      <c r="C2413" s="916"/>
      <c r="D2413" s="916"/>
      <c r="E2413" s="905"/>
      <c r="F2413" s="841"/>
      <c r="G2413" s="841"/>
      <c r="H2413" s="840">
        <f t="shared" si="74"/>
        <v>0</v>
      </c>
      <c r="I2413" s="840">
        <f t="shared" si="75"/>
        <v>0</v>
      </c>
    </row>
    <row r="2414" spans="1:9" s="302" customFormat="1" hidden="1">
      <c r="A2414" s="1071"/>
      <c r="B2414" s="475"/>
      <c r="C2414" s="916"/>
      <c r="D2414" s="916"/>
      <c r="E2414" s="905"/>
      <c r="F2414" s="841"/>
      <c r="G2414" s="841"/>
      <c r="H2414" s="840">
        <f t="shared" si="74"/>
        <v>0</v>
      </c>
      <c r="I2414" s="840">
        <f t="shared" si="75"/>
        <v>0</v>
      </c>
    </row>
    <row r="2415" spans="1:9" s="302" customFormat="1" hidden="1">
      <c r="A2415" s="1071"/>
      <c r="B2415" s="475"/>
      <c r="C2415" s="916"/>
      <c r="D2415" s="916"/>
      <c r="E2415" s="905"/>
      <c r="F2415" s="841"/>
      <c r="G2415" s="841"/>
      <c r="H2415" s="840">
        <f t="shared" si="74"/>
        <v>0</v>
      </c>
      <c r="I2415" s="840">
        <f t="shared" si="75"/>
        <v>0</v>
      </c>
    </row>
    <row r="2416" spans="1:9" s="302" customFormat="1" hidden="1">
      <c r="A2416" s="1071"/>
      <c r="B2416" s="475"/>
      <c r="C2416" s="916"/>
      <c r="D2416" s="916"/>
      <c r="E2416" s="905"/>
      <c r="F2416" s="841"/>
      <c r="G2416" s="841"/>
      <c r="H2416" s="840">
        <f t="shared" si="74"/>
        <v>0</v>
      </c>
      <c r="I2416" s="840">
        <f t="shared" si="75"/>
        <v>0</v>
      </c>
    </row>
    <row r="2417" spans="1:9" s="302" customFormat="1" hidden="1">
      <c r="A2417" s="1071"/>
      <c r="B2417" s="475"/>
      <c r="C2417" s="916"/>
      <c r="D2417" s="916"/>
      <c r="E2417" s="905"/>
      <c r="F2417" s="841"/>
      <c r="G2417" s="841"/>
      <c r="H2417" s="840">
        <f t="shared" si="74"/>
        <v>0</v>
      </c>
      <c r="I2417" s="840">
        <f t="shared" si="75"/>
        <v>0</v>
      </c>
    </row>
    <row r="2418" spans="1:9" s="302" customFormat="1" hidden="1">
      <c r="A2418" s="1071"/>
      <c r="B2418" s="475"/>
      <c r="C2418" s="916"/>
      <c r="D2418" s="916"/>
      <c r="E2418" s="905"/>
      <c r="F2418" s="841"/>
      <c r="G2418" s="841"/>
      <c r="H2418" s="840">
        <f t="shared" si="74"/>
        <v>0</v>
      </c>
      <c r="I2418" s="840">
        <f t="shared" si="75"/>
        <v>0</v>
      </c>
    </row>
    <row r="2419" spans="1:9" s="302" customFormat="1" hidden="1">
      <c r="A2419" s="1071"/>
      <c r="B2419" s="475"/>
      <c r="C2419" s="916"/>
      <c r="D2419" s="916"/>
      <c r="E2419" s="905"/>
      <c r="F2419" s="841"/>
      <c r="G2419" s="841"/>
      <c r="H2419" s="840">
        <f t="shared" si="74"/>
        <v>0</v>
      </c>
      <c r="I2419" s="840">
        <f t="shared" si="75"/>
        <v>0</v>
      </c>
    </row>
    <row r="2420" spans="1:9" s="302" customFormat="1" hidden="1">
      <c r="A2420" s="1071"/>
      <c r="B2420" s="475"/>
      <c r="C2420" s="916"/>
      <c r="D2420" s="916"/>
      <c r="E2420" s="905"/>
      <c r="F2420" s="841"/>
      <c r="G2420" s="841"/>
      <c r="H2420" s="840">
        <f t="shared" si="74"/>
        <v>0</v>
      </c>
      <c r="I2420" s="840">
        <f t="shared" si="75"/>
        <v>0</v>
      </c>
    </row>
    <row r="2421" spans="1:9" s="302" customFormat="1" hidden="1">
      <c r="A2421" s="1071"/>
      <c r="B2421" s="475"/>
      <c r="C2421" s="916"/>
      <c r="D2421" s="916"/>
      <c r="E2421" s="905"/>
      <c r="F2421" s="841"/>
      <c r="G2421" s="841"/>
      <c r="H2421" s="840">
        <f t="shared" si="74"/>
        <v>0</v>
      </c>
      <c r="I2421" s="840">
        <f t="shared" si="75"/>
        <v>0</v>
      </c>
    </row>
    <row r="2422" spans="1:9" s="302" customFormat="1" hidden="1">
      <c r="A2422" s="1071"/>
      <c r="B2422" s="475"/>
      <c r="C2422" s="916"/>
      <c r="D2422" s="916"/>
      <c r="E2422" s="905"/>
      <c r="F2422" s="841"/>
      <c r="G2422" s="841"/>
      <c r="H2422" s="840">
        <f t="shared" si="74"/>
        <v>0</v>
      </c>
      <c r="I2422" s="840">
        <f t="shared" si="75"/>
        <v>0</v>
      </c>
    </row>
    <row r="2423" spans="1:9" s="302" customFormat="1" hidden="1">
      <c r="A2423" s="1071"/>
      <c r="B2423" s="864"/>
      <c r="C2423" s="917"/>
      <c r="D2423" s="927"/>
      <c r="E2423" s="927"/>
      <c r="F2423" s="841"/>
      <c r="G2423" s="841"/>
      <c r="H2423" s="840">
        <f t="shared" si="74"/>
        <v>0</v>
      </c>
      <c r="I2423" s="840">
        <f t="shared" si="75"/>
        <v>0</v>
      </c>
    </row>
    <row r="2424" spans="1:9">
      <c r="A2424" s="1081"/>
      <c r="B2424" s="461" t="s">
        <v>253</v>
      </c>
      <c r="C2424" s="919">
        <f>SUM(C2353:C2423)</f>
        <v>736672</v>
      </c>
      <c r="D2424" s="919">
        <f>SUM(D2353:D2423)</f>
        <v>464502</v>
      </c>
      <c r="E2424" s="919">
        <f>SUM(E2353:E2423)</f>
        <v>272170</v>
      </c>
      <c r="F2424" s="865">
        <f>SUM(F2353:F2423)</f>
        <v>0</v>
      </c>
      <c r="G2424" s="866">
        <f>SUM(G2353:G2423)</f>
        <v>0</v>
      </c>
      <c r="H2424" s="840">
        <f t="shared" si="74"/>
        <v>0</v>
      </c>
      <c r="I2424" s="840">
        <f t="shared" si="75"/>
        <v>1473344</v>
      </c>
    </row>
    <row r="2425" spans="1:9" ht="56.25">
      <c r="A2425" s="1081" t="s">
        <v>194</v>
      </c>
      <c r="B2425" s="475" t="s">
        <v>2137</v>
      </c>
      <c r="C2425" s="905">
        <v>15000</v>
      </c>
      <c r="D2425" s="905">
        <v>15000</v>
      </c>
      <c r="E2425" s="905"/>
      <c r="F2425" s="850"/>
      <c r="G2425" s="851"/>
      <c r="H2425" s="840">
        <f t="shared" si="74"/>
        <v>0</v>
      </c>
      <c r="I2425" s="840">
        <f t="shared" si="75"/>
        <v>30000</v>
      </c>
    </row>
    <row r="2426" spans="1:9" ht="75">
      <c r="A2426" s="1081"/>
      <c r="B2426" s="475" t="s">
        <v>2859</v>
      </c>
      <c r="C2426" s="908">
        <v>30000</v>
      </c>
      <c r="D2426" s="908">
        <v>30000</v>
      </c>
      <c r="E2426" s="905"/>
      <c r="F2426" s="850"/>
      <c r="G2426" s="851"/>
      <c r="H2426" s="840">
        <f t="shared" si="74"/>
        <v>0</v>
      </c>
      <c r="I2426" s="840">
        <f t="shared" si="75"/>
        <v>60000</v>
      </c>
    </row>
    <row r="2427" spans="1:9" hidden="1">
      <c r="A2427" s="1081"/>
      <c r="B2427" s="475"/>
      <c r="C2427" s="916"/>
      <c r="D2427" s="916"/>
      <c r="E2427" s="905"/>
      <c r="F2427" s="850"/>
      <c r="G2427" s="851"/>
      <c r="H2427" s="840">
        <f t="shared" si="74"/>
        <v>0</v>
      </c>
      <c r="I2427" s="840">
        <f t="shared" si="75"/>
        <v>0</v>
      </c>
    </row>
    <row r="2428" spans="1:9" hidden="1">
      <c r="A2428" s="1079"/>
      <c r="B2428" s="894"/>
      <c r="C2428" s="922"/>
      <c r="D2428" s="922"/>
      <c r="E2428" s="922"/>
      <c r="F2428" s="851"/>
      <c r="G2428" s="851"/>
      <c r="H2428" s="840">
        <f t="shared" si="74"/>
        <v>0</v>
      </c>
      <c r="I2428" s="840">
        <f t="shared" si="75"/>
        <v>0</v>
      </c>
    </row>
    <row r="2429" spans="1:9" hidden="1">
      <c r="A2429" s="1079"/>
      <c r="B2429" s="475"/>
      <c r="C2429" s="916"/>
      <c r="D2429" s="916"/>
      <c r="E2429" s="916"/>
      <c r="F2429" s="851"/>
      <c r="G2429" s="851"/>
      <c r="H2429" s="840">
        <f t="shared" si="74"/>
        <v>0</v>
      </c>
      <c r="I2429" s="840">
        <f t="shared" si="75"/>
        <v>0</v>
      </c>
    </row>
    <row r="2430" spans="1:9" hidden="1">
      <c r="A2430" s="1079"/>
      <c r="B2430" s="864"/>
      <c r="C2430" s="917"/>
      <c r="D2430" s="917"/>
      <c r="E2430" s="917"/>
      <c r="F2430" s="851"/>
      <c r="G2430" s="851"/>
      <c r="H2430" s="840">
        <f t="shared" si="74"/>
        <v>0</v>
      </c>
      <c r="I2430" s="840">
        <f t="shared" si="75"/>
        <v>0</v>
      </c>
    </row>
    <row r="2431" spans="1:9">
      <c r="A2431" s="1081"/>
      <c r="B2431" s="461" t="s">
        <v>253</v>
      </c>
      <c r="C2431" s="941">
        <f>SUM(C2425:C2430)</f>
        <v>45000</v>
      </c>
      <c r="D2431" s="941">
        <f>SUM(D2425:D2430)</f>
        <v>45000</v>
      </c>
      <c r="E2431" s="941">
        <f>SUM(E2425:E2430)</f>
        <v>0</v>
      </c>
      <c r="F2431" s="850"/>
      <c r="G2431" s="851"/>
      <c r="H2431" s="840">
        <f t="shared" si="74"/>
        <v>0</v>
      </c>
      <c r="I2431" s="840">
        <f t="shared" si="75"/>
        <v>90000</v>
      </c>
    </row>
    <row r="2432" spans="1:9" ht="36" customHeight="1">
      <c r="A2432" s="1081" t="s">
        <v>44</v>
      </c>
      <c r="B2432" s="535" t="s">
        <v>2461</v>
      </c>
      <c r="C2432" s="908">
        <v>200000</v>
      </c>
      <c r="D2432" s="908">
        <v>200000</v>
      </c>
      <c r="E2432" s="905"/>
      <c r="F2432" s="850"/>
      <c r="G2432" s="851"/>
      <c r="H2432" s="840">
        <f t="shared" si="74"/>
        <v>0</v>
      </c>
      <c r="I2432" s="840">
        <f t="shared" si="75"/>
        <v>400000</v>
      </c>
    </row>
    <row r="2433" spans="1:9" s="302" customFormat="1" ht="93.75">
      <c r="A2433" s="1068"/>
      <c r="B2433" s="475" t="s">
        <v>2860</v>
      </c>
      <c r="C2433" s="915">
        <v>40000</v>
      </c>
      <c r="D2433" s="915">
        <v>40000</v>
      </c>
      <c r="E2433" s="914"/>
      <c r="F2433" s="850"/>
      <c r="G2433" s="851"/>
      <c r="H2433" s="840">
        <f t="shared" si="74"/>
        <v>0</v>
      </c>
      <c r="I2433" s="840">
        <f t="shared" si="75"/>
        <v>80000</v>
      </c>
    </row>
    <row r="2434" spans="1:9" s="302" customFormat="1" ht="37.5">
      <c r="A2434" s="1071"/>
      <c r="B2434" s="475" t="s">
        <v>2861</v>
      </c>
      <c r="C2434" s="905">
        <v>3500</v>
      </c>
      <c r="D2434" s="905">
        <v>3500</v>
      </c>
      <c r="E2434" s="905"/>
      <c r="F2434" s="851"/>
      <c r="G2434" s="851"/>
      <c r="H2434" s="840">
        <f t="shared" si="74"/>
        <v>0</v>
      </c>
      <c r="I2434" s="840">
        <f t="shared" si="75"/>
        <v>7000</v>
      </c>
    </row>
    <row r="2435" spans="1:9" s="302" customFormat="1" hidden="1">
      <c r="A2435" s="1071"/>
      <c r="B2435" s="475"/>
      <c r="C2435" s="912"/>
      <c r="D2435" s="912"/>
      <c r="E2435" s="912"/>
      <c r="F2435" s="851"/>
      <c r="G2435" s="851"/>
      <c r="H2435" s="840">
        <f t="shared" si="74"/>
        <v>0</v>
      </c>
      <c r="I2435" s="840">
        <f t="shared" si="75"/>
        <v>0</v>
      </c>
    </row>
    <row r="2436" spans="1:9" s="302" customFormat="1" hidden="1">
      <c r="A2436" s="1071"/>
      <c r="B2436" s="864"/>
      <c r="C2436" s="924"/>
      <c r="D2436" s="924"/>
      <c r="E2436" s="924"/>
      <c r="F2436" s="851"/>
      <c r="G2436" s="851"/>
      <c r="H2436" s="840">
        <f t="shared" si="74"/>
        <v>0</v>
      </c>
      <c r="I2436" s="840">
        <f t="shared" si="75"/>
        <v>0</v>
      </c>
    </row>
    <row r="2437" spans="1:9">
      <c r="A2437" s="1081"/>
      <c r="B2437" s="461" t="s">
        <v>253</v>
      </c>
      <c r="C2437" s="941">
        <f>SUM(C2432:C2436)</f>
        <v>243500</v>
      </c>
      <c r="D2437" s="941">
        <f>SUM(D2432:D2436)</f>
        <v>243500</v>
      </c>
      <c r="E2437" s="941">
        <f>SUM(E2432:E2436)</f>
        <v>0</v>
      </c>
      <c r="F2437" s="850"/>
      <c r="G2437" s="851"/>
      <c r="H2437" s="840">
        <f t="shared" si="74"/>
        <v>0</v>
      </c>
      <c r="I2437" s="840">
        <f t="shared" si="75"/>
        <v>487000</v>
      </c>
    </row>
    <row r="2438" spans="1:9" ht="37.5">
      <c r="A2438" s="1081" t="s">
        <v>324</v>
      </c>
      <c r="B2438" s="535" t="s">
        <v>1091</v>
      </c>
      <c r="C2438" s="905">
        <v>10000</v>
      </c>
      <c r="D2438" s="905">
        <v>10000</v>
      </c>
      <c r="E2438" s="905"/>
      <c r="F2438" s="850"/>
      <c r="G2438" s="851"/>
      <c r="H2438" s="840">
        <f t="shared" si="74"/>
        <v>0</v>
      </c>
      <c r="I2438" s="840">
        <f t="shared" si="75"/>
        <v>20000</v>
      </c>
    </row>
    <row r="2439" spans="1:9" hidden="1">
      <c r="A2439" s="1079"/>
      <c r="B2439" s="901"/>
      <c r="C2439" s="942"/>
      <c r="D2439" s="942"/>
      <c r="E2439" s="942"/>
      <c r="F2439" s="851"/>
      <c r="G2439" s="851"/>
      <c r="H2439" s="840">
        <f t="shared" si="74"/>
        <v>0</v>
      </c>
      <c r="I2439" s="840">
        <f t="shared" si="75"/>
        <v>0</v>
      </c>
    </row>
    <row r="2440" spans="1:9">
      <c r="A2440" s="1081"/>
      <c r="B2440" s="461" t="s">
        <v>253</v>
      </c>
      <c r="C2440" s="919">
        <f>SUM(C2438:C2439)</f>
        <v>10000</v>
      </c>
      <c r="D2440" s="919">
        <f>SUM(D2438:D2439)</f>
        <v>10000</v>
      </c>
      <c r="E2440" s="919">
        <f>SUM(E2438:E2439)</f>
        <v>0</v>
      </c>
      <c r="F2440" s="850"/>
      <c r="G2440" s="851"/>
      <c r="H2440" s="840">
        <f t="shared" si="74"/>
        <v>0</v>
      </c>
      <c r="I2440" s="840">
        <f t="shared" si="75"/>
        <v>20000</v>
      </c>
    </row>
    <row r="2441" spans="1:9" ht="112.5">
      <c r="A2441" s="1081" t="s">
        <v>337</v>
      </c>
      <c r="B2441" s="475" t="s">
        <v>1388</v>
      </c>
      <c r="C2441" s="530">
        <f>190278-33432</f>
        <v>156846</v>
      </c>
      <c r="D2441" s="530"/>
      <c r="E2441" s="905">
        <f>190278-33432</f>
        <v>156846</v>
      </c>
      <c r="F2441" s="850"/>
      <c r="G2441" s="851"/>
      <c r="H2441" s="840">
        <f t="shared" ref="H2441:H2504" si="76">E2441+D2441-C2441</f>
        <v>0</v>
      </c>
      <c r="I2441" s="840">
        <f t="shared" ref="I2441:I2504" si="77">SUM(C2441:E2441)</f>
        <v>313692</v>
      </c>
    </row>
    <row r="2442" spans="1:9" ht="56.25">
      <c r="A2442" s="1079"/>
      <c r="B2442" s="475" t="s">
        <v>1811</v>
      </c>
      <c r="C2442" s="530">
        <v>33432</v>
      </c>
      <c r="D2442" s="530"/>
      <c r="E2442" s="905">
        <v>33432</v>
      </c>
      <c r="F2442" s="850"/>
      <c r="G2442" s="851"/>
      <c r="H2442" s="840">
        <f t="shared" si="76"/>
        <v>0</v>
      </c>
      <c r="I2442" s="840">
        <f t="shared" si="77"/>
        <v>66864</v>
      </c>
    </row>
    <row r="2443" spans="1:9" ht="37.5">
      <c r="A2443" s="1079"/>
      <c r="B2443" s="475" t="s">
        <v>1389</v>
      </c>
      <c r="C2443" s="530">
        <v>89982</v>
      </c>
      <c r="D2443" s="530">
        <v>89982</v>
      </c>
      <c r="E2443" s="905"/>
      <c r="F2443" s="850"/>
      <c r="G2443" s="851"/>
      <c r="H2443" s="840">
        <f t="shared" si="76"/>
        <v>0</v>
      </c>
      <c r="I2443" s="840">
        <f t="shared" si="77"/>
        <v>179964</v>
      </c>
    </row>
    <row r="2444" spans="1:9" ht="56.25">
      <c r="A2444" s="1079"/>
      <c r="B2444" s="475" t="s">
        <v>1390</v>
      </c>
      <c r="C2444" s="530">
        <v>33864</v>
      </c>
      <c r="D2444" s="530">
        <v>33864</v>
      </c>
      <c r="E2444" s="905"/>
      <c r="F2444" s="850"/>
      <c r="G2444" s="851"/>
      <c r="H2444" s="840">
        <f t="shared" si="76"/>
        <v>0</v>
      </c>
      <c r="I2444" s="840">
        <f t="shared" si="77"/>
        <v>67728</v>
      </c>
    </row>
    <row r="2445" spans="1:9" ht="93.75">
      <c r="A2445" s="1079"/>
      <c r="B2445" s="475" t="s">
        <v>2138</v>
      </c>
      <c r="C2445" s="908">
        <v>27302</v>
      </c>
      <c r="D2445" s="932">
        <v>27302</v>
      </c>
      <c r="E2445" s="932"/>
      <c r="F2445" s="850"/>
      <c r="G2445" s="851"/>
      <c r="H2445" s="840">
        <f t="shared" si="76"/>
        <v>0</v>
      </c>
      <c r="I2445" s="840">
        <f t="shared" si="77"/>
        <v>54604</v>
      </c>
    </row>
    <row r="2446" spans="1:9" ht="150">
      <c r="A2446" s="1079"/>
      <c r="B2446" s="475" t="s">
        <v>2862</v>
      </c>
      <c r="C2446" s="914">
        <v>154441</v>
      </c>
      <c r="D2446" s="975"/>
      <c r="E2446" s="914">
        <v>154441</v>
      </c>
      <c r="F2446" s="850"/>
      <c r="G2446" s="851"/>
      <c r="H2446" s="840">
        <f t="shared" si="76"/>
        <v>0</v>
      </c>
      <c r="I2446" s="840">
        <f t="shared" si="77"/>
        <v>308882</v>
      </c>
    </row>
    <row r="2447" spans="1:9" hidden="1">
      <c r="A2447" s="1079"/>
      <c r="B2447" s="475"/>
      <c r="C2447" s="916"/>
      <c r="D2447" s="916"/>
      <c r="E2447" s="905"/>
      <c r="F2447" s="850"/>
      <c r="G2447" s="851"/>
      <c r="H2447" s="840">
        <f t="shared" si="76"/>
        <v>0</v>
      </c>
      <c r="I2447" s="840">
        <f t="shared" si="77"/>
        <v>0</v>
      </c>
    </row>
    <row r="2448" spans="1:9" hidden="1">
      <c r="A2448" s="1079"/>
      <c r="B2448" s="475"/>
      <c r="C2448" s="916"/>
      <c r="D2448" s="916"/>
      <c r="E2448" s="905"/>
      <c r="F2448" s="850"/>
      <c r="G2448" s="851"/>
      <c r="H2448" s="840">
        <f t="shared" si="76"/>
        <v>0</v>
      </c>
      <c r="I2448" s="840">
        <f t="shared" si="77"/>
        <v>0</v>
      </c>
    </row>
    <row r="2449" spans="1:9" hidden="1">
      <c r="A2449" s="1079"/>
      <c r="B2449" s="475"/>
      <c r="C2449" s="916"/>
      <c r="D2449" s="916"/>
      <c r="E2449" s="905"/>
      <c r="F2449" s="850"/>
      <c r="G2449" s="851"/>
      <c r="H2449" s="840">
        <f t="shared" si="76"/>
        <v>0</v>
      </c>
      <c r="I2449" s="840">
        <f t="shared" si="77"/>
        <v>0</v>
      </c>
    </row>
    <row r="2450" spans="1:9" hidden="1">
      <c r="A2450" s="1079"/>
      <c r="B2450" s="475"/>
      <c r="C2450" s="916"/>
      <c r="D2450" s="916"/>
      <c r="E2450" s="905"/>
      <c r="F2450" s="850"/>
      <c r="G2450" s="851"/>
      <c r="H2450" s="840">
        <f t="shared" si="76"/>
        <v>0</v>
      </c>
      <c r="I2450" s="840">
        <f t="shared" si="77"/>
        <v>0</v>
      </c>
    </row>
    <row r="2451" spans="1:9" hidden="1">
      <c r="A2451" s="1079"/>
      <c r="B2451" s="475"/>
      <c r="C2451" s="905"/>
      <c r="D2451" s="931"/>
      <c r="E2451" s="931"/>
      <c r="F2451" s="850"/>
      <c r="G2451" s="851"/>
      <c r="H2451" s="840">
        <f t="shared" si="76"/>
        <v>0</v>
      </c>
      <c r="I2451" s="840">
        <f t="shared" si="77"/>
        <v>0</v>
      </c>
    </row>
    <row r="2452" spans="1:9" hidden="1">
      <c r="A2452" s="1079"/>
      <c r="B2452" s="475"/>
      <c r="C2452" s="916"/>
      <c r="D2452" s="916"/>
      <c r="E2452" s="905"/>
      <c r="F2452" s="850"/>
      <c r="G2452" s="851"/>
      <c r="H2452" s="840">
        <f t="shared" si="76"/>
        <v>0</v>
      </c>
      <c r="I2452" s="840">
        <f t="shared" si="77"/>
        <v>0</v>
      </c>
    </row>
    <row r="2453" spans="1:9" hidden="1">
      <c r="A2453" s="1079"/>
      <c r="B2453" s="475"/>
      <c r="C2453" s="916"/>
      <c r="D2453" s="916"/>
      <c r="E2453" s="905"/>
      <c r="F2453" s="850"/>
      <c r="G2453" s="851"/>
      <c r="H2453" s="840">
        <f t="shared" si="76"/>
        <v>0</v>
      </c>
      <c r="I2453" s="840">
        <f t="shared" si="77"/>
        <v>0</v>
      </c>
    </row>
    <row r="2454" spans="1:9" hidden="1">
      <c r="A2454" s="1079"/>
      <c r="B2454" s="475"/>
      <c r="C2454" s="916"/>
      <c r="D2454" s="916"/>
      <c r="E2454" s="905"/>
      <c r="F2454" s="850"/>
      <c r="G2454" s="851"/>
      <c r="H2454" s="840">
        <f t="shared" si="76"/>
        <v>0</v>
      </c>
      <c r="I2454" s="840">
        <f t="shared" si="77"/>
        <v>0</v>
      </c>
    </row>
    <row r="2455" spans="1:9" hidden="1">
      <c r="A2455" s="1079"/>
      <c r="B2455" s="475"/>
      <c r="C2455" s="916"/>
      <c r="D2455" s="916"/>
      <c r="E2455" s="905"/>
      <c r="F2455" s="850"/>
      <c r="G2455" s="851"/>
      <c r="H2455" s="840">
        <f t="shared" si="76"/>
        <v>0</v>
      </c>
      <c r="I2455" s="840">
        <f t="shared" si="77"/>
        <v>0</v>
      </c>
    </row>
    <row r="2456" spans="1:9" hidden="1">
      <c r="A2456" s="1079"/>
      <c r="B2456" s="475"/>
      <c r="C2456" s="916"/>
      <c r="D2456" s="916"/>
      <c r="E2456" s="905"/>
      <c r="F2456" s="850"/>
      <c r="G2456" s="851"/>
      <c r="H2456" s="840">
        <f t="shared" si="76"/>
        <v>0</v>
      </c>
      <c r="I2456" s="840">
        <f t="shared" si="77"/>
        <v>0</v>
      </c>
    </row>
    <row r="2457" spans="1:9" hidden="1">
      <c r="A2457" s="1079"/>
      <c r="B2457" s="475"/>
      <c r="C2457" s="916"/>
      <c r="D2457" s="916"/>
      <c r="E2457" s="905"/>
      <c r="F2457" s="850"/>
      <c r="G2457" s="851"/>
      <c r="H2457" s="840">
        <f t="shared" si="76"/>
        <v>0</v>
      </c>
      <c r="I2457" s="840">
        <f t="shared" si="77"/>
        <v>0</v>
      </c>
    </row>
    <row r="2458" spans="1:9" hidden="1">
      <c r="A2458" s="1079"/>
      <c r="B2458" s="475"/>
      <c r="C2458" s="916"/>
      <c r="D2458" s="916"/>
      <c r="E2458" s="905"/>
      <c r="F2458" s="850"/>
      <c r="G2458" s="851"/>
      <c r="H2458" s="840">
        <f t="shared" si="76"/>
        <v>0</v>
      </c>
      <c r="I2458" s="840">
        <f t="shared" si="77"/>
        <v>0</v>
      </c>
    </row>
    <row r="2459" spans="1:9" hidden="1">
      <c r="A2459" s="1079"/>
      <c r="B2459" s="475"/>
      <c r="C2459" s="916"/>
      <c r="D2459" s="916"/>
      <c r="E2459" s="905"/>
      <c r="F2459" s="850"/>
      <c r="G2459" s="851"/>
      <c r="H2459" s="840">
        <f t="shared" si="76"/>
        <v>0</v>
      </c>
      <c r="I2459" s="840">
        <f t="shared" si="77"/>
        <v>0</v>
      </c>
    </row>
    <row r="2460" spans="1:9" hidden="1">
      <c r="A2460" s="1079"/>
      <c r="B2460" s="475"/>
      <c r="C2460" s="916"/>
      <c r="D2460" s="916"/>
      <c r="E2460" s="905"/>
      <c r="F2460" s="850"/>
      <c r="G2460" s="851"/>
      <c r="H2460" s="840">
        <f t="shared" si="76"/>
        <v>0</v>
      </c>
      <c r="I2460" s="840">
        <f t="shared" si="77"/>
        <v>0</v>
      </c>
    </row>
    <row r="2461" spans="1:9" hidden="1">
      <c r="A2461" s="1079"/>
      <c r="B2461" s="475"/>
      <c r="C2461" s="916"/>
      <c r="D2461" s="916"/>
      <c r="E2461" s="905"/>
      <c r="F2461" s="850"/>
      <c r="G2461" s="851"/>
      <c r="H2461" s="840">
        <f t="shared" si="76"/>
        <v>0</v>
      </c>
      <c r="I2461" s="840">
        <f t="shared" si="77"/>
        <v>0</v>
      </c>
    </row>
    <row r="2462" spans="1:9" hidden="1">
      <c r="A2462" s="1079"/>
      <c r="B2462" s="475"/>
      <c r="C2462" s="916"/>
      <c r="D2462" s="916"/>
      <c r="E2462" s="905"/>
      <c r="F2462" s="850"/>
      <c r="G2462" s="851"/>
      <c r="H2462" s="840">
        <f t="shared" si="76"/>
        <v>0</v>
      </c>
      <c r="I2462" s="840">
        <f t="shared" si="77"/>
        <v>0</v>
      </c>
    </row>
    <row r="2463" spans="1:9" hidden="1">
      <c r="A2463" s="1079"/>
      <c r="B2463" s="475"/>
      <c r="C2463" s="916"/>
      <c r="D2463" s="916"/>
      <c r="E2463" s="905"/>
      <c r="F2463" s="850"/>
      <c r="G2463" s="851"/>
      <c r="H2463" s="840">
        <f t="shared" si="76"/>
        <v>0</v>
      </c>
      <c r="I2463" s="840">
        <f t="shared" si="77"/>
        <v>0</v>
      </c>
    </row>
    <row r="2464" spans="1:9" hidden="1">
      <c r="A2464" s="1079"/>
      <c r="B2464" s="475"/>
      <c r="C2464" s="916"/>
      <c r="D2464" s="916"/>
      <c r="E2464" s="905"/>
      <c r="F2464" s="850"/>
      <c r="G2464" s="851"/>
      <c r="H2464" s="840">
        <f t="shared" si="76"/>
        <v>0</v>
      </c>
      <c r="I2464" s="840">
        <f t="shared" si="77"/>
        <v>0</v>
      </c>
    </row>
    <row r="2465" spans="1:9" hidden="1">
      <c r="A2465" s="1079"/>
      <c r="B2465" s="475"/>
      <c r="C2465" s="916"/>
      <c r="D2465" s="916"/>
      <c r="E2465" s="905"/>
      <c r="F2465" s="850"/>
      <c r="G2465" s="851"/>
      <c r="H2465" s="840">
        <f t="shared" si="76"/>
        <v>0</v>
      </c>
      <c r="I2465" s="840">
        <f t="shared" si="77"/>
        <v>0</v>
      </c>
    </row>
    <row r="2466" spans="1:9" hidden="1">
      <c r="A2466" s="1079"/>
      <c r="B2466" s="475"/>
      <c r="C2466" s="916"/>
      <c r="D2466" s="916"/>
      <c r="E2466" s="905"/>
      <c r="F2466" s="850"/>
      <c r="G2466" s="851"/>
      <c r="H2466" s="840">
        <f t="shared" si="76"/>
        <v>0</v>
      </c>
      <c r="I2466" s="840">
        <f t="shared" si="77"/>
        <v>0</v>
      </c>
    </row>
    <row r="2467" spans="1:9" hidden="1">
      <c r="A2467" s="1079"/>
      <c r="B2467" s="475"/>
      <c r="C2467" s="916"/>
      <c r="D2467" s="916"/>
      <c r="E2467" s="905"/>
      <c r="F2467" s="850"/>
      <c r="G2467" s="851"/>
      <c r="H2467" s="840">
        <f t="shared" si="76"/>
        <v>0</v>
      </c>
      <c r="I2467" s="840">
        <f t="shared" si="77"/>
        <v>0</v>
      </c>
    </row>
    <row r="2468" spans="1:9" hidden="1">
      <c r="A2468" s="1079"/>
      <c r="B2468" s="475"/>
      <c r="C2468" s="916"/>
      <c r="D2468" s="916"/>
      <c r="E2468" s="905"/>
      <c r="F2468" s="850"/>
      <c r="G2468" s="851"/>
      <c r="H2468" s="840">
        <f t="shared" si="76"/>
        <v>0</v>
      </c>
      <c r="I2468" s="840">
        <f t="shared" si="77"/>
        <v>0</v>
      </c>
    </row>
    <row r="2469" spans="1:9" hidden="1">
      <c r="A2469" s="1079"/>
      <c r="B2469" s="475"/>
      <c r="C2469" s="916"/>
      <c r="D2469" s="916"/>
      <c r="E2469" s="905"/>
      <c r="F2469" s="850"/>
      <c r="G2469" s="851"/>
      <c r="H2469" s="840">
        <f t="shared" si="76"/>
        <v>0</v>
      </c>
      <c r="I2469" s="840">
        <f t="shared" si="77"/>
        <v>0</v>
      </c>
    </row>
    <row r="2470" spans="1:9" hidden="1">
      <c r="A2470" s="1079"/>
      <c r="B2470" s="475"/>
      <c r="C2470" s="916"/>
      <c r="D2470" s="916"/>
      <c r="E2470" s="905"/>
      <c r="F2470" s="850"/>
      <c r="G2470" s="851"/>
      <c r="H2470" s="840">
        <f t="shared" si="76"/>
        <v>0</v>
      </c>
      <c r="I2470" s="840">
        <f t="shared" si="77"/>
        <v>0</v>
      </c>
    </row>
    <row r="2471" spans="1:9" hidden="1">
      <c r="A2471" s="1079"/>
      <c r="B2471" s="475"/>
      <c r="C2471" s="916"/>
      <c r="D2471" s="916"/>
      <c r="E2471" s="916"/>
      <c r="F2471" s="851"/>
      <c r="G2471" s="851"/>
      <c r="H2471" s="840">
        <f t="shared" si="76"/>
        <v>0</v>
      </c>
      <c r="I2471" s="840">
        <f t="shared" si="77"/>
        <v>0</v>
      </c>
    </row>
    <row r="2472" spans="1:9">
      <c r="A2472" s="1081"/>
      <c r="B2472" s="461" t="s">
        <v>253</v>
      </c>
      <c r="C2472" s="919">
        <f>SUM(C2441:C2471)</f>
        <v>495867</v>
      </c>
      <c r="D2472" s="919">
        <f>SUM(D2441:D2471)</f>
        <v>151148</v>
      </c>
      <c r="E2472" s="919">
        <f>SUM(E2441:E2471)</f>
        <v>344719</v>
      </c>
      <c r="F2472" s="850"/>
      <c r="G2472" s="851"/>
      <c r="H2472" s="840">
        <f t="shared" si="76"/>
        <v>0</v>
      </c>
      <c r="I2472" s="840">
        <f t="shared" si="77"/>
        <v>991734</v>
      </c>
    </row>
    <row r="2473" spans="1:9" ht="75">
      <c r="A2473" s="1081" t="s">
        <v>45</v>
      </c>
      <c r="B2473" s="493" t="s">
        <v>955</v>
      </c>
      <c r="C2473" s="530">
        <v>50000</v>
      </c>
      <c r="D2473" s="530">
        <v>50000</v>
      </c>
      <c r="E2473" s="905"/>
      <c r="F2473" s="850"/>
      <c r="G2473" s="851"/>
      <c r="H2473" s="840">
        <f t="shared" si="76"/>
        <v>0</v>
      </c>
      <c r="I2473" s="840">
        <f t="shared" si="77"/>
        <v>100000</v>
      </c>
    </row>
    <row r="2474" spans="1:9" ht="56.25">
      <c r="A2474" s="1079"/>
      <c r="B2474" s="535" t="s">
        <v>2139</v>
      </c>
      <c r="C2474" s="915">
        <v>20000</v>
      </c>
      <c r="D2474" s="908">
        <v>3000</v>
      </c>
      <c r="E2474" s="905">
        <v>17000</v>
      </c>
      <c r="F2474" s="851"/>
      <c r="G2474" s="851"/>
      <c r="H2474" s="840">
        <f t="shared" si="76"/>
        <v>0</v>
      </c>
      <c r="I2474" s="840">
        <f t="shared" si="77"/>
        <v>40000</v>
      </c>
    </row>
    <row r="2475" spans="1:9" ht="56.25">
      <c r="A2475" s="1079"/>
      <c r="B2475" s="475" t="s">
        <v>2521</v>
      </c>
      <c r="C2475" s="905">
        <v>117000</v>
      </c>
      <c r="D2475" s="905"/>
      <c r="E2475" s="905">
        <v>117000</v>
      </c>
      <c r="F2475" s="850"/>
      <c r="G2475" s="851"/>
      <c r="H2475" s="840">
        <f t="shared" si="76"/>
        <v>0</v>
      </c>
      <c r="I2475" s="840">
        <f t="shared" si="77"/>
        <v>234000</v>
      </c>
    </row>
    <row r="2476" spans="1:9" hidden="1">
      <c r="A2476" s="1079"/>
      <c r="B2476" s="902"/>
      <c r="C2476" s="905"/>
      <c r="D2476" s="905"/>
      <c r="E2476" s="905"/>
      <c r="F2476" s="850"/>
      <c r="G2476" s="851"/>
      <c r="H2476" s="840">
        <f t="shared" si="76"/>
        <v>0</v>
      </c>
      <c r="I2476" s="840">
        <f t="shared" si="77"/>
        <v>0</v>
      </c>
    </row>
    <row r="2477" spans="1:9" hidden="1">
      <c r="A2477" s="1079"/>
      <c r="B2477" s="902"/>
      <c r="C2477" s="905"/>
      <c r="D2477" s="916"/>
      <c r="E2477" s="905"/>
      <c r="F2477" s="850"/>
      <c r="G2477" s="851"/>
      <c r="H2477" s="840">
        <f t="shared" si="76"/>
        <v>0</v>
      </c>
      <c r="I2477" s="840">
        <f t="shared" si="77"/>
        <v>0</v>
      </c>
    </row>
    <row r="2478" spans="1:9" hidden="1">
      <c r="A2478" s="1079"/>
      <c r="B2478" s="902"/>
      <c r="C2478" s="905"/>
      <c r="D2478" s="916"/>
      <c r="E2478" s="905"/>
      <c r="F2478" s="850"/>
      <c r="G2478" s="851"/>
      <c r="H2478" s="840">
        <f t="shared" si="76"/>
        <v>0</v>
      </c>
      <c r="I2478" s="840">
        <f t="shared" si="77"/>
        <v>0</v>
      </c>
    </row>
    <row r="2479" spans="1:9" hidden="1">
      <c r="A2479" s="1079"/>
      <c r="B2479" s="902"/>
      <c r="C2479" s="905"/>
      <c r="D2479" s="916"/>
      <c r="E2479" s="905"/>
      <c r="F2479" s="850"/>
      <c r="G2479" s="851"/>
      <c r="H2479" s="840">
        <f t="shared" si="76"/>
        <v>0</v>
      </c>
      <c r="I2479" s="840">
        <f t="shared" si="77"/>
        <v>0</v>
      </c>
    </row>
    <row r="2480" spans="1:9" hidden="1">
      <c r="A2480" s="1079"/>
      <c r="B2480" s="902"/>
      <c r="C2480" s="905"/>
      <c r="D2480" s="916"/>
      <c r="E2480" s="905"/>
      <c r="F2480" s="850"/>
      <c r="G2480" s="851"/>
      <c r="H2480" s="840">
        <f t="shared" si="76"/>
        <v>0</v>
      </c>
      <c r="I2480" s="840">
        <f t="shared" si="77"/>
        <v>0</v>
      </c>
    </row>
    <row r="2481" spans="1:9" hidden="1">
      <c r="A2481" s="1079"/>
      <c r="B2481" s="902"/>
      <c r="C2481" s="905"/>
      <c r="D2481" s="916"/>
      <c r="E2481" s="905"/>
      <c r="F2481" s="850"/>
      <c r="G2481" s="851"/>
      <c r="H2481" s="840">
        <f t="shared" si="76"/>
        <v>0</v>
      </c>
      <c r="I2481" s="840">
        <f t="shared" si="77"/>
        <v>0</v>
      </c>
    </row>
    <row r="2482" spans="1:9">
      <c r="A2482" s="1081"/>
      <c r="B2482" s="461" t="s">
        <v>253</v>
      </c>
      <c r="C2482" s="919">
        <f>SUM(C2473:C2481)</f>
        <v>187000</v>
      </c>
      <c r="D2482" s="919">
        <f>SUM(D2473:D2481)</f>
        <v>53000</v>
      </c>
      <c r="E2482" s="919">
        <f>SUM(E2473:E2481)</f>
        <v>134000</v>
      </c>
      <c r="F2482" s="850"/>
      <c r="G2482" s="851"/>
      <c r="H2482" s="840">
        <f t="shared" si="76"/>
        <v>0</v>
      </c>
      <c r="I2482" s="840">
        <f t="shared" si="77"/>
        <v>374000</v>
      </c>
    </row>
    <row r="2483" spans="1:9" ht="112.5" hidden="1">
      <c r="A2483" s="1081" t="s">
        <v>46</v>
      </c>
      <c r="B2483" s="475" t="s">
        <v>953</v>
      </c>
      <c r="C2483" s="530">
        <f>100000-100000</f>
        <v>0</v>
      </c>
      <c r="D2483" s="530"/>
      <c r="E2483" s="905">
        <f>100000-100000</f>
        <v>0</v>
      </c>
      <c r="F2483" s="850"/>
      <c r="G2483" s="851"/>
      <c r="H2483" s="840">
        <f t="shared" si="76"/>
        <v>0</v>
      </c>
      <c r="I2483" s="840">
        <f t="shared" si="77"/>
        <v>0</v>
      </c>
    </row>
    <row r="2484" spans="1:9" ht="56.25">
      <c r="A2484" s="1081"/>
      <c r="B2484" s="475" t="s">
        <v>950</v>
      </c>
      <c r="C2484" s="530">
        <v>180000</v>
      </c>
      <c r="D2484" s="530"/>
      <c r="E2484" s="905">
        <v>180000</v>
      </c>
      <c r="F2484" s="850"/>
      <c r="G2484" s="851"/>
      <c r="H2484" s="840">
        <f t="shared" si="76"/>
        <v>0</v>
      </c>
      <c r="I2484" s="840">
        <f t="shared" si="77"/>
        <v>360000</v>
      </c>
    </row>
    <row r="2485" spans="1:9" ht="56.25">
      <c r="A2485" s="1081"/>
      <c r="B2485" s="475" t="s">
        <v>1092</v>
      </c>
      <c r="C2485" s="905">
        <v>100000</v>
      </c>
      <c r="D2485" s="905">
        <v>100000</v>
      </c>
      <c r="E2485" s="905"/>
      <c r="F2485" s="850"/>
      <c r="G2485" s="851"/>
      <c r="H2485" s="840">
        <f t="shared" si="76"/>
        <v>0</v>
      </c>
      <c r="I2485" s="840">
        <f t="shared" si="77"/>
        <v>200000</v>
      </c>
    </row>
    <row r="2486" spans="1:9" ht="75">
      <c r="A2486" s="1081"/>
      <c r="B2486" s="475" t="s">
        <v>1391</v>
      </c>
      <c r="C2486" s="530">
        <v>16000</v>
      </c>
      <c r="D2486" s="530"/>
      <c r="E2486" s="905">
        <v>16000</v>
      </c>
      <c r="F2486" s="850"/>
      <c r="G2486" s="851"/>
      <c r="H2486" s="840">
        <f t="shared" si="76"/>
        <v>0</v>
      </c>
      <c r="I2486" s="840">
        <f t="shared" si="77"/>
        <v>32000</v>
      </c>
    </row>
    <row r="2487" spans="1:9" ht="93.75">
      <c r="A2487" s="1081"/>
      <c r="B2487" s="475" t="s">
        <v>1392</v>
      </c>
      <c r="C2487" s="905">
        <v>15000</v>
      </c>
      <c r="D2487" s="905">
        <v>15000</v>
      </c>
      <c r="E2487" s="932"/>
      <c r="F2487" s="850"/>
      <c r="G2487" s="851"/>
      <c r="H2487" s="840">
        <f t="shared" si="76"/>
        <v>0</v>
      </c>
      <c r="I2487" s="840">
        <f t="shared" si="77"/>
        <v>30000</v>
      </c>
    </row>
    <row r="2488" spans="1:9" ht="37.5">
      <c r="A2488" s="1081"/>
      <c r="B2488" s="475" t="s">
        <v>1393</v>
      </c>
      <c r="C2488" s="530">
        <v>30000</v>
      </c>
      <c r="D2488" s="530">
        <v>30000</v>
      </c>
      <c r="E2488" s="905"/>
      <c r="F2488" s="850"/>
      <c r="G2488" s="851"/>
      <c r="H2488" s="840">
        <f t="shared" si="76"/>
        <v>0</v>
      </c>
      <c r="I2488" s="840">
        <f t="shared" si="77"/>
        <v>60000</v>
      </c>
    </row>
    <row r="2489" spans="1:9" ht="75">
      <c r="A2489" s="1081"/>
      <c r="B2489" s="475" t="s">
        <v>1394</v>
      </c>
      <c r="C2489" s="530">
        <v>50000</v>
      </c>
      <c r="D2489" s="530">
        <v>50000</v>
      </c>
      <c r="E2489" s="905"/>
      <c r="F2489" s="850"/>
      <c r="G2489" s="851"/>
      <c r="H2489" s="840">
        <f t="shared" si="76"/>
        <v>0</v>
      </c>
      <c r="I2489" s="840">
        <f t="shared" si="77"/>
        <v>100000</v>
      </c>
    </row>
    <row r="2490" spans="1:9" ht="56.25">
      <c r="A2490" s="1081"/>
      <c r="B2490" s="475" t="s">
        <v>1395</v>
      </c>
      <c r="C2490" s="530">
        <v>10000</v>
      </c>
      <c r="D2490" s="530">
        <v>3000</v>
      </c>
      <c r="E2490" s="905">
        <v>7000</v>
      </c>
      <c r="F2490" s="850"/>
      <c r="G2490" s="851"/>
      <c r="H2490" s="840">
        <f t="shared" si="76"/>
        <v>0</v>
      </c>
      <c r="I2490" s="840">
        <f t="shared" si="77"/>
        <v>20000</v>
      </c>
    </row>
    <row r="2491" spans="1:9" ht="56.25">
      <c r="A2491" s="1081"/>
      <c r="B2491" s="475" t="s">
        <v>1396</v>
      </c>
      <c r="C2491" s="530">
        <v>50000</v>
      </c>
      <c r="D2491" s="530">
        <v>50000</v>
      </c>
      <c r="E2491" s="905"/>
      <c r="F2491" s="850"/>
      <c r="G2491" s="851"/>
      <c r="H2491" s="840">
        <f t="shared" si="76"/>
        <v>0</v>
      </c>
      <c r="I2491" s="840">
        <f t="shared" si="77"/>
        <v>100000</v>
      </c>
    </row>
    <row r="2492" spans="1:9" ht="37.5">
      <c r="A2492" s="1081"/>
      <c r="B2492" s="475" t="s">
        <v>1397</v>
      </c>
      <c r="C2492" s="530">
        <v>30000</v>
      </c>
      <c r="D2492" s="530">
        <v>30000</v>
      </c>
      <c r="E2492" s="905"/>
      <c r="F2492" s="850"/>
      <c r="G2492" s="851"/>
      <c r="H2492" s="840">
        <f t="shared" si="76"/>
        <v>0</v>
      </c>
      <c r="I2492" s="840">
        <f t="shared" si="77"/>
        <v>60000</v>
      </c>
    </row>
    <row r="2493" spans="1:9" ht="75">
      <c r="A2493" s="1081"/>
      <c r="B2493" s="475" t="s">
        <v>1398</v>
      </c>
      <c r="C2493" s="530">
        <v>30000</v>
      </c>
      <c r="D2493" s="530">
        <v>30000</v>
      </c>
      <c r="E2493" s="905"/>
      <c r="F2493" s="850"/>
      <c r="G2493" s="851"/>
      <c r="H2493" s="840">
        <f t="shared" si="76"/>
        <v>0</v>
      </c>
      <c r="I2493" s="840">
        <f t="shared" si="77"/>
        <v>60000</v>
      </c>
    </row>
    <row r="2494" spans="1:9" ht="93.75">
      <c r="A2494" s="1081"/>
      <c r="B2494" s="475" t="s">
        <v>1912</v>
      </c>
      <c r="C2494" s="911">
        <v>200000</v>
      </c>
      <c r="D2494" s="911">
        <v>200000</v>
      </c>
      <c r="E2494" s="911"/>
      <c r="F2494" s="850"/>
      <c r="G2494" s="851"/>
      <c r="H2494" s="840">
        <f t="shared" si="76"/>
        <v>0</v>
      </c>
      <c r="I2494" s="840">
        <f t="shared" si="77"/>
        <v>400000</v>
      </c>
    </row>
    <row r="2495" spans="1:9" ht="56.25">
      <c r="A2495" s="1081"/>
      <c r="B2495" s="475" t="s">
        <v>2303</v>
      </c>
      <c r="C2495" s="908">
        <v>34614</v>
      </c>
      <c r="D2495" s="908">
        <v>34614</v>
      </c>
      <c r="E2495" s="905"/>
      <c r="F2495" s="850"/>
      <c r="G2495" s="851"/>
      <c r="H2495" s="840">
        <f t="shared" si="76"/>
        <v>0</v>
      </c>
      <c r="I2495" s="840">
        <f t="shared" si="77"/>
        <v>69228</v>
      </c>
    </row>
    <row r="2496" spans="1:9" ht="56.25">
      <c r="A2496" s="1081"/>
      <c r="B2496" s="475" t="s">
        <v>2140</v>
      </c>
      <c r="C2496" s="905">
        <v>36035</v>
      </c>
      <c r="D2496" s="932">
        <v>36035</v>
      </c>
      <c r="E2496" s="932"/>
      <c r="F2496" s="850"/>
      <c r="G2496" s="851"/>
      <c r="H2496" s="840">
        <f t="shared" si="76"/>
        <v>0</v>
      </c>
      <c r="I2496" s="840">
        <f t="shared" si="77"/>
        <v>72070</v>
      </c>
    </row>
    <row r="2497" spans="1:9" ht="37.5">
      <c r="A2497" s="1081"/>
      <c r="B2497" s="475" t="s">
        <v>2141</v>
      </c>
      <c r="C2497" s="905">
        <v>26489</v>
      </c>
      <c r="D2497" s="932">
        <v>26489</v>
      </c>
      <c r="E2497" s="932"/>
      <c r="F2497" s="850"/>
      <c r="G2497" s="851"/>
      <c r="H2497" s="840">
        <f t="shared" si="76"/>
        <v>0</v>
      </c>
      <c r="I2497" s="840">
        <f t="shared" si="77"/>
        <v>52978</v>
      </c>
    </row>
    <row r="2498" spans="1:9" ht="37.5">
      <c r="A2498" s="1081"/>
      <c r="B2498" s="475" t="s">
        <v>2142</v>
      </c>
      <c r="C2498" s="905">
        <v>57632</v>
      </c>
      <c r="D2498" s="932">
        <v>57632</v>
      </c>
      <c r="E2498" s="932"/>
      <c r="F2498" s="850"/>
      <c r="G2498" s="851"/>
      <c r="H2498" s="840">
        <f t="shared" si="76"/>
        <v>0</v>
      </c>
      <c r="I2498" s="840">
        <f t="shared" si="77"/>
        <v>115264</v>
      </c>
    </row>
    <row r="2499" spans="1:9" ht="37.5">
      <c r="A2499" s="1081"/>
      <c r="B2499" s="475" t="s">
        <v>2143</v>
      </c>
      <c r="C2499" s="905">
        <v>20099</v>
      </c>
      <c r="D2499" s="932">
        <v>20099</v>
      </c>
      <c r="E2499" s="932"/>
      <c r="F2499" s="850"/>
      <c r="G2499" s="851"/>
      <c r="H2499" s="840">
        <f t="shared" si="76"/>
        <v>0</v>
      </c>
      <c r="I2499" s="840">
        <f t="shared" si="77"/>
        <v>40198</v>
      </c>
    </row>
    <row r="2500" spans="1:9" ht="37.5">
      <c r="A2500" s="1081"/>
      <c r="B2500" s="475" t="s">
        <v>2144</v>
      </c>
      <c r="C2500" s="905">
        <v>24290</v>
      </c>
      <c r="D2500" s="932">
        <v>24290</v>
      </c>
      <c r="E2500" s="932"/>
      <c r="F2500" s="850"/>
      <c r="G2500" s="851"/>
      <c r="H2500" s="840">
        <f t="shared" si="76"/>
        <v>0</v>
      </c>
      <c r="I2500" s="840">
        <f t="shared" si="77"/>
        <v>48580</v>
      </c>
    </row>
    <row r="2501" spans="1:9" ht="112.5">
      <c r="A2501" s="1081"/>
      <c r="B2501" s="535" t="s">
        <v>2145</v>
      </c>
      <c r="C2501" s="914">
        <v>10000</v>
      </c>
      <c r="D2501" s="914">
        <v>3000</v>
      </c>
      <c r="E2501" s="914">
        <v>7000</v>
      </c>
      <c r="F2501" s="850"/>
      <c r="G2501" s="851"/>
      <c r="H2501" s="840">
        <f t="shared" si="76"/>
        <v>0</v>
      </c>
      <c r="I2501" s="840">
        <f t="shared" si="77"/>
        <v>20000</v>
      </c>
    </row>
    <row r="2502" spans="1:9" ht="56.25">
      <c r="A2502" s="1081"/>
      <c r="B2502" s="535" t="s">
        <v>2146</v>
      </c>
      <c r="C2502" s="908">
        <v>20000</v>
      </c>
      <c r="D2502" s="908">
        <v>20000</v>
      </c>
      <c r="E2502" s="905"/>
      <c r="F2502" s="850"/>
      <c r="G2502" s="851"/>
      <c r="H2502" s="840">
        <f t="shared" si="76"/>
        <v>0</v>
      </c>
      <c r="I2502" s="840">
        <f t="shared" si="77"/>
        <v>40000</v>
      </c>
    </row>
    <row r="2503" spans="1:9" ht="75">
      <c r="A2503" s="1081"/>
      <c r="B2503" s="535" t="s">
        <v>2147</v>
      </c>
      <c r="C2503" s="908">
        <v>20000</v>
      </c>
      <c r="D2503" s="908">
        <v>20000</v>
      </c>
      <c r="E2503" s="905"/>
      <c r="F2503" s="850"/>
      <c r="G2503" s="851"/>
      <c r="H2503" s="840">
        <f t="shared" si="76"/>
        <v>0</v>
      </c>
      <c r="I2503" s="840">
        <f t="shared" si="77"/>
        <v>40000</v>
      </c>
    </row>
    <row r="2504" spans="1:9" ht="75">
      <c r="A2504" s="1081"/>
      <c r="B2504" s="475" t="s">
        <v>2148</v>
      </c>
      <c r="C2504" s="908">
        <v>15000</v>
      </c>
      <c r="D2504" s="908">
        <v>5900</v>
      </c>
      <c r="E2504" s="905">
        <v>9100</v>
      </c>
      <c r="F2504" s="850"/>
      <c r="G2504" s="851"/>
      <c r="H2504" s="840">
        <f t="shared" si="76"/>
        <v>0</v>
      </c>
      <c r="I2504" s="840">
        <f t="shared" si="77"/>
        <v>30000</v>
      </c>
    </row>
    <row r="2505" spans="1:9" ht="75">
      <c r="A2505" s="1081"/>
      <c r="B2505" s="535" t="s">
        <v>2149</v>
      </c>
      <c r="C2505" s="908">
        <v>15000</v>
      </c>
      <c r="D2505" s="908">
        <v>15000</v>
      </c>
      <c r="E2505" s="905"/>
      <c r="F2505" s="850"/>
      <c r="G2505" s="851"/>
      <c r="H2505" s="840">
        <f t="shared" ref="H2505:H2568" si="78">E2505+D2505-C2505</f>
        <v>0</v>
      </c>
      <c r="I2505" s="840">
        <f t="shared" ref="I2505:I2568" si="79">SUM(C2505:E2505)</f>
        <v>30000</v>
      </c>
    </row>
    <row r="2506" spans="1:9" ht="56.25">
      <c r="A2506" s="1081"/>
      <c r="B2506" s="475" t="s">
        <v>2600</v>
      </c>
      <c r="C2506" s="905">
        <v>100000</v>
      </c>
      <c r="D2506" s="905"/>
      <c r="E2506" s="905">
        <v>100000</v>
      </c>
      <c r="F2506" s="850"/>
      <c r="G2506" s="851"/>
      <c r="H2506" s="840">
        <f t="shared" si="78"/>
        <v>0</v>
      </c>
      <c r="I2506" s="840">
        <f t="shared" si="79"/>
        <v>200000</v>
      </c>
    </row>
    <row r="2507" spans="1:9" ht="75">
      <c r="A2507" s="1081"/>
      <c r="B2507" s="475" t="s">
        <v>2601</v>
      </c>
      <c r="C2507" s="905">
        <v>50000</v>
      </c>
      <c r="D2507" s="905">
        <v>50000</v>
      </c>
      <c r="E2507" s="905"/>
      <c r="F2507" s="850"/>
      <c r="G2507" s="851"/>
      <c r="H2507" s="840">
        <f t="shared" si="78"/>
        <v>0</v>
      </c>
      <c r="I2507" s="840">
        <f t="shared" si="79"/>
        <v>100000</v>
      </c>
    </row>
    <row r="2508" spans="1:9" ht="56.25">
      <c r="A2508" s="1081"/>
      <c r="B2508" s="475" t="s">
        <v>2863</v>
      </c>
      <c r="C2508" s="915">
        <v>10000</v>
      </c>
      <c r="D2508" s="915">
        <v>10000</v>
      </c>
      <c r="E2508" s="914"/>
      <c r="F2508" s="850"/>
      <c r="G2508" s="851"/>
      <c r="H2508" s="840">
        <f t="shared" si="78"/>
        <v>0</v>
      </c>
      <c r="I2508" s="840">
        <f t="shared" si="79"/>
        <v>20000</v>
      </c>
    </row>
    <row r="2509" spans="1:9" ht="56.25">
      <c r="A2509" s="1081"/>
      <c r="B2509" s="475" t="s">
        <v>2864</v>
      </c>
      <c r="C2509" s="915">
        <v>25000</v>
      </c>
      <c r="D2509" s="915">
        <v>25000</v>
      </c>
      <c r="E2509" s="914"/>
      <c r="F2509" s="850"/>
      <c r="G2509" s="851"/>
      <c r="H2509" s="840">
        <f t="shared" si="78"/>
        <v>0</v>
      </c>
      <c r="I2509" s="840">
        <f t="shared" si="79"/>
        <v>50000</v>
      </c>
    </row>
    <row r="2510" spans="1:9" ht="93.75">
      <c r="A2510" s="1081"/>
      <c r="B2510" s="475" t="s">
        <v>2865</v>
      </c>
      <c r="C2510" s="915">
        <v>25000</v>
      </c>
      <c r="D2510" s="915">
        <v>25000</v>
      </c>
      <c r="E2510" s="914"/>
      <c r="F2510" s="850"/>
      <c r="G2510" s="851"/>
      <c r="H2510" s="840">
        <f t="shared" si="78"/>
        <v>0</v>
      </c>
      <c r="I2510" s="840">
        <f t="shared" si="79"/>
        <v>50000</v>
      </c>
    </row>
    <row r="2511" spans="1:9" hidden="1">
      <c r="A2511" s="1081"/>
      <c r="B2511" s="887"/>
      <c r="C2511" s="916"/>
      <c r="D2511" s="916"/>
      <c r="E2511" s="907"/>
      <c r="F2511" s="850"/>
      <c r="G2511" s="851"/>
      <c r="H2511" s="840">
        <f t="shared" si="78"/>
        <v>0</v>
      </c>
      <c r="I2511" s="840">
        <f t="shared" si="79"/>
        <v>0</v>
      </c>
    </row>
    <row r="2512" spans="1:9" hidden="1">
      <c r="A2512" s="1081"/>
      <c r="B2512" s="887"/>
      <c r="C2512" s="916"/>
      <c r="D2512" s="916"/>
      <c r="E2512" s="907"/>
      <c r="F2512" s="850"/>
      <c r="G2512" s="851"/>
      <c r="H2512" s="840">
        <f t="shared" si="78"/>
        <v>0</v>
      </c>
      <c r="I2512" s="840">
        <f t="shared" si="79"/>
        <v>0</v>
      </c>
    </row>
    <row r="2513" spans="1:9" hidden="1">
      <c r="A2513" s="1081"/>
      <c r="B2513" s="887"/>
      <c r="C2513" s="916"/>
      <c r="D2513" s="916"/>
      <c r="E2513" s="907"/>
      <c r="F2513" s="850"/>
      <c r="G2513" s="851"/>
      <c r="H2513" s="840">
        <f t="shared" si="78"/>
        <v>0</v>
      </c>
      <c r="I2513" s="840">
        <f t="shared" si="79"/>
        <v>0</v>
      </c>
    </row>
    <row r="2514" spans="1:9" hidden="1">
      <c r="A2514" s="1081"/>
      <c r="B2514" s="887"/>
      <c r="C2514" s="916"/>
      <c r="D2514" s="916"/>
      <c r="E2514" s="907"/>
      <c r="F2514" s="850"/>
      <c r="G2514" s="851"/>
      <c r="H2514" s="840">
        <f t="shared" si="78"/>
        <v>0</v>
      </c>
      <c r="I2514" s="840">
        <f t="shared" si="79"/>
        <v>0</v>
      </c>
    </row>
    <row r="2515" spans="1:9" hidden="1">
      <c r="A2515" s="1081"/>
      <c r="B2515" s="887"/>
      <c r="C2515" s="916"/>
      <c r="D2515" s="916"/>
      <c r="E2515" s="907"/>
      <c r="F2515" s="850"/>
      <c r="G2515" s="851"/>
      <c r="H2515" s="840">
        <f t="shared" si="78"/>
        <v>0</v>
      </c>
      <c r="I2515" s="840">
        <f t="shared" si="79"/>
        <v>0</v>
      </c>
    </row>
    <row r="2516" spans="1:9" hidden="1">
      <c r="A2516" s="1081"/>
      <c r="B2516" s="887"/>
      <c r="C2516" s="916"/>
      <c r="D2516" s="916"/>
      <c r="E2516" s="907"/>
      <c r="F2516" s="850"/>
      <c r="G2516" s="851"/>
      <c r="H2516" s="840">
        <f t="shared" si="78"/>
        <v>0</v>
      </c>
      <c r="I2516" s="840">
        <f t="shared" si="79"/>
        <v>0</v>
      </c>
    </row>
    <row r="2517" spans="1:9" hidden="1">
      <c r="A2517" s="1081"/>
      <c r="B2517" s="887"/>
      <c r="C2517" s="907"/>
      <c r="D2517" s="916"/>
      <c r="E2517" s="907"/>
      <c r="F2517" s="850"/>
      <c r="G2517" s="851"/>
      <c r="H2517" s="840">
        <f t="shared" si="78"/>
        <v>0</v>
      </c>
      <c r="I2517" s="840">
        <f t="shared" si="79"/>
        <v>0</v>
      </c>
    </row>
    <row r="2518" spans="1:9" s="302" customFormat="1" hidden="1">
      <c r="A2518" s="1068"/>
      <c r="B2518" s="475"/>
      <c r="C2518" s="916"/>
      <c r="D2518" s="905"/>
      <c r="E2518" s="905"/>
      <c r="F2518" s="850"/>
      <c r="G2518" s="851"/>
      <c r="H2518" s="840">
        <f t="shared" si="78"/>
        <v>0</v>
      </c>
      <c r="I2518" s="840">
        <f t="shared" si="79"/>
        <v>0</v>
      </c>
    </row>
    <row r="2519" spans="1:9" s="302" customFormat="1" hidden="1">
      <c r="A2519" s="1068"/>
      <c r="B2519" s="475"/>
      <c r="C2519" s="916"/>
      <c r="D2519" s="905"/>
      <c r="E2519" s="905"/>
      <c r="F2519" s="850"/>
      <c r="G2519" s="851"/>
      <c r="H2519" s="840">
        <f t="shared" si="78"/>
        <v>0</v>
      </c>
      <c r="I2519" s="840">
        <f t="shared" si="79"/>
        <v>0</v>
      </c>
    </row>
    <row r="2520" spans="1:9" s="302" customFormat="1" hidden="1">
      <c r="A2520" s="1068"/>
      <c r="B2520" s="475"/>
      <c r="C2520" s="916"/>
      <c r="D2520" s="905"/>
      <c r="E2520" s="905"/>
      <c r="F2520" s="850"/>
      <c r="G2520" s="851"/>
      <c r="H2520" s="840">
        <f t="shared" si="78"/>
        <v>0</v>
      </c>
      <c r="I2520" s="840">
        <f t="shared" si="79"/>
        <v>0</v>
      </c>
    </row>
    <row r="2521" spans="1:9" s="302" customFormat="1" hidden="1">
      <c r="A2521" s="1068"/>
      <c r="B2521" s="475"/>
      <c r="C2521" s="916"/>
      <c r="D2521" s="905"/>
      <c r="E2521" s="905"/>
      <c r="F2521" s="850"/>
      <c r="G2521" s="851"/>
      <c r="H2521" s="840">
        <f t="shared" si="78"/>
        <v>0</v>
      </c>
      <c r="I2521" s="840">
        <f t="shared" si="79"/>
        <v>0</v>
      </c>
    </row>
    <row r="2522" spans="1:9" s="302" customFormat="1" hidden="1">
      <c r="A2522" s="1068"/>
      <c r="B2522" s="475"/>
      <c r="C2522" s="916"/>
      <c r="D2522" s="905"/>
      <c r="E2522" s="905"/>
      <c r="F2522" s="850"/>
      <c r="G2522" s="851"/>
      <c r="H2522" s="840">
        <f t="shared" si="78"/>
        <v>0</v>
      </c>
      <c r="I2522" s="840">
        <f t="shared" si="79"/>
        <v>0</v>
      </c>
    </row>
    <row r="2523" spans="1:9" s="302" customFormat="1" hidden="1">
      <c r="A2523" s="1068"/>
      <c r="B2523" s="475"/>
      <c r="C2523" s="916"/>
      <c r="D2523" s="905"/>
      <c r="E2523" s="905"/>
      <c r="F2523" s="850"/>
      <c r="G2523" s="851"/>
      <c r="H2523" s="840">
        <f t="shared" si="78"/>
        <v>0</v>
      </c>
      <c r="I2523" s="840">
        <f t="shared" si="79"/>
        <v>0</v>
      </c>
    </row>
    <row r="2524" spans="1:9" s="302" customFormat="1" hidden="1">
      <c r="A2524" s="1068"/>
      <c r="B2524" s="475"/>
      <c r="C2524" s="916"/>
      <c r="D2524" s="905"/>
      <c r="E2524" s="905"/>
      <c r="F2524" s="850"/>
      <c r="G2524" s="851"/>
      <c r="H2524" s="840">
        <f t="shared" si="78"/>
        <v>0</v>
      </c>
      <c r="I2524" s="840">
        <f t="shared" si="79"/>
        <v>0</v>
      </c>
    </row>
    <row r="2525" spans="1:9" s="302" customFormat="1" hidden="1">
      <c r="A2525" s="1068"/>
      <c r="B2525" s="475"/>
      <c r="C2525" s="916"/>
      <c r="D2525" s="905"/>
      <c r="E2525" s="905"/>
      <c r="F2525" s="850"/>
      <c r="G2525" s="851"/>
      <c r="H2525" s="840">
        <f t="shared" si="78"/>
        <v>0</v>
      </c>
      <c r="I2525" s="840">
        <f t="shared" si="79"/>
        <v>0</v>
      </c>
    </row>
    <row r="2526" spans="1:9" s="302" customFormat="1" hidden="1">
      <c r="A2526" s="1068"/>
      <c r="B2526" s="475"/>
      <c r="C2526" s="916"/>
      <c r="D2526" s="905"/>
      <c r="E2526" s="905"/>
      <c r="F2526" s="850"/>
      <c r="G2526" s="851"/>
      <c r="H2526" s="840">
        <f t="shared" si="78"/>
        <v>0</v>
      </c>
      <c r="I2526" s="840">
        <f t="shared" si="79"/>
        <v>0</v>
      </c>
    </row>
    <row r="2527" spans="1:9" s="302" customFormat="1" hidden="1">
      <c r="A2527" s="1068"/>
      <c r="B2527" s="475"/>
      <c r="C2527" s="905"/>
      <c r="D2527" s="905"/>
      <c r="E2527" s="905"/>
      <c r="F2527" s="850"/>
      <c r="G2527" s="851"/>
      <c r="H2527" s="840">
        <f t="shared" si="78"/>
        <v>0</v>
      </c>
      <c r="I2527" s="840">
        <f t="shared" si="79"/>
        <v>0</v>
      </c>
    </row>
    <row r="2528" spans="1:9" s="302" customFormat="1" hidden="1">
      <c r="A2528" s="1068"/>
      <c r="B2528" s="475"/>
      <c r="C2528" s="916"/>
      <c r="D2528" s="916"/>
      <c r="E2528" s="905"/>
      <c r="F2528" s="850"/>
      <c r="G2528" s="851"/>
      <c r="H2528" s="840">
        <f t="shared" si="78"/>
        <v>0</v>
      </c>
      <c r="I2528" s="840">
        <f t="shared" si="79"/>
        <v>0</v>
      </c>
    </row>
    <row r="2529" spans="1:9" s="302" customFormat="1" hidden="1">
      <c r="A2529" s="1068"/>
      <c r="B2529" s="475"/>
      <c r="C2529" s="916"/>
      <c r="D2529" s="916"/>
      <c r="E2529" s="905"/>
      <c r="F2529" s="850"/>
      <c r="G2529" s="851"/>
      <c r="H2529" s="840">
        <f t="shared" si="78"/>
        <v>0</v>
      </c>
      <c r="I2529" s="840">
        <f t="shared" si="79"/>
        <v>0</v>
      </c>
    </row>
    <row r="2530" spans="1:9" s="302" customFormat="1" ht="18" hidden="1" customHeight="1">
      <c r="A2530" s="1071"/>
      <c r="B2530" s="893"/>
      <c r="C2530" s="922"/>
      <c r="D2530" s="922"/>
      <c r="E2530" s="923"/>
      <c r="F2530" s="851"/>
      <c r="G2530" s="851"/>
      <c r="H2530" s="840">
        <f t="shared" si="78"/>
        <v>0</v>
      </c>
      <c r="I2530" s="840">
        <f t="shared" si="79"/>
        <v>0</v>
      </c>
    </row>
    <row r="2531" spans="1:9" s="302" customFormat="1" ht="18" hidden="1" customHeight="1">
      <c r="A2531" s="1071"/>
      <c r="B2531" s="887"/>
      <c r="C2531" s="916"/>
      <c r="D2531" s="916"/>
      <c r="E2531" s="907"/>
      <c r="F2531" s="851"/>
      <c r="G2531" s="851"/>
      <c r="H2531" s="840">
        <f t="shared" si="78"/>
        <v>0</v>
      </c>
      <c r="I2531" s="840">
        <f t="shared" si="79"/>
        <v>0</v>
      </c>
    </row>
    <row r="2532" spans="1:9" s="302" customFormat="1" ht="18" hidden="1" customHeight="1">
      <c r="A2532" s="1071"/>
      <c r="B2532" s="887"/>
      <c r="C2532" s="916"/>
      <c r="D2532" s="916"/>
      <c r="E2532" s="907"/>
      <c r="F2532" s="851"/>
      <c r="G2532" s="851"/>
      <c r="H2532" s="840">
        <f t="shared" si="78"/>
        <v>0</v>
      </c>
      <c r="I2532" s="840">
        <f t="shared" si="79"/>
        <v>0</v>
      </c>
    </row>
    <row r="2533" spans="1:9" s="302" customFormat="1" ht="18" hidden="1" customHeight="1">
      <c r="A2533" s="1071"/>
      <c r="B2533" s="887"/>
      <c r="C2533" s="916"/>
      <c r="D2533" s="916"/>
      <c r="E2533" s="907"/>
      <c r="F2533" s="851"/>
      <c r="G2533" s="851"/>
      <c r="H2533" s="840">
        <f t="shared" si="78"/>
        <v>0</v>
      </c>
      <c r="I2533" s="840">
        <f t="shared" si="79"/>
        <v>0</v>
      </c>
    </row>
    <row r="2534" spans="1:9" s="302" customFormat="1" ht="18" hidden="1" customHeight="1">
      <c r="A2534" s="1071"/>
      <c r="B2534" s="475"/>
      <c r="C2534" s="912"/>
      <c r="D2534" s="912"/>
      <c r="E2534" s="912"/>
      <c r="F2534" s="851"/>
      <c r="G2534" s="851"/>
      <c r="H2534" s="840">
        <f t="shared" si="78"/>
        <v>0</v>
      </c>
      <c r="I2534" s="840">
        <f t="shared" si="79"/>
        <v>0</v>
      </c>
    </row>
    <row r="2535" spans="1:9" s="302" customFormat="1" ht="18" hidden="1" customHeight="1">
      <c r="A2535" s="1071"/>
      <c r="B2535" s="475"/>
      <c r="C2535" s="912"/>
      <c r="D2535" s="912"/>
      <c r="E2535" s="912"/>
      <c r="F2535" s="851"/>
      <c r="G2535" s="851"/>
      <c r="H2535" s="840">
        <f t="shared" si="78"/>
        <v>0</v>
      </c>
      <c r="I2535" s="840">
        <f t="shared" si="79"/>
        <v>0</v>
      </c>
    </row>
    <row r="2536" spans="1:9" s="302" customFormat="1" ht="18" hidden="1" customHeight="1">
      <c r="A2536" s="1071"/>
      <c r="B2536" s="475"/>
      <c r="C2536" s="912"/>
      <c r="D2536" s="912"/>
      <c r="E2536" s="912"/>
      <c r="F2536" s="851"/>
      <c r="G2536" s="851"/>
      <c r="H2536" s="840">
        <f t="shared" si="78"/>
        <v>0</v>
      </c>
      <c r="I2536" s="840">
        <f t="shared" si="79"/>
        <v>0</v>
      </c>
    </row>
    <row r="2537" spans="1:9" s="302" customFormat="1" ht="18" hidden="1" customHeight="1">
      <c r="A2537" s="1071"/>
      <c r="B2537" s="864"/>
      <c r="C2537" s="924"/>
      <c r="D2537" s="924"/>
      <c r="E2537" s="924"/>
      <c r="F2537" s="851"/>
      <c r="G2537" s="851"/>
      <c r="H2537" s="840">
        <f t="shared" si="78"/>
        <v>0</v>
      </c>
      <c r="I2537" s="840">
        <f t="shared" si="79"/>
        <v>0</v>
      </c>
    </row>
    <row r="2538" spans="1:9">
      <c r="A2538" s="1081"/>
      <c r="B2538" s="461" t="s">
        <v>253</v>
      </c>
      <c r="C2538" s="919">
        <f>SUM(C2483:C2537)</f>
        <v>1200159</v>
      </c>
      <c r="D2538" s="919">
        <f>SUM(D2483:D2537)</f>
        <v>881059</v>
      </c>
      <c r="E2538" s="919">
        <f>SUM(E2483:E2537)</f>
        <v>319100</v>
      </c>
      <c r="F2538" s="850"/>
      <c r="G2538" s="851"/>
      <c r="H2538" s="840">
        <f t="shared" si="78"/>
        <v>0</v>
      </c>
      <c r="I2538" s="840">
        <f t="shared" si="79"/>
        <v>2400318</v>
      </c>
    </row>
    <row r="2539" spans="1:9" ht="56.25">
      <c r="A2539" s="1081" t="s">
        <v>391</v>
      </c>
      <c r="B2539" s="475" t="s">
        <v>2503</v>
      </c>
      <c r="C2539" s="908">
        <v>25000</v>
      </c>
      <c r="D2539" s="908">
        <v>25000</v>
      </c>
      <c r="E2539" s="905"/>
      <c r="F2539" s="850"/>
      <c r="G2539" s="851"/>
      <c r="H2539" s="840">
        <f t="shared" si="78"/>
        <v>0</v>
      </c>
      <c r="I2539" s="840">
        <f t="shared" si="79"/>
        <v>50000</v>
      </c>
    </row>
    <row r="2540" spans="1:9" ht="56.25">
      <c r="A2540" s="1079"/>
      <c r="B2540" s="475" t="s">
        <v>2504</v>
      </c>
      <c r="C2540" s="908">
        <v>25000</v>
      </c>
      <c r="D2540" s="908">
        <v>25000</v>
      </c>
      <c r="E2540" s="905"/>
      <c r="F2540" s="850"/>
      <c r="G2540" s="851"/>
      <c r="H2540" s="840">
        <f t="shared" si="78"/>
        <v>0</v>
      </c>
      <c r="I2540" s="840">
        <f t="shared" si="79"/>
        <v>50000</v>
      </c>
    </row>
    <row r="2541" spans="1:9" ht="56.25">
      <c r="A2541" s="1079"/>
      <c r="B2541" s="475" t="s">
        <v>2462</v>
      </c>
      <c r="C2541" s="908">
        <v>5000</v>
      </c>
      <c r="D2541" s="908">
        <v>5000</v>
      </c>
      <c r="E2541" s="905"/>
      <c r="F2541" s="850"/>
      <c r="G2541" s="851"/>
      <c r="H2541" s="840">
        <f t="shared" si="78"/>
        <v>0</v>
      </c>
      <c r="I2541" s="840">
        <f t="shared" si="79"/>
        <v>10000</v>
      </c>
    </row>
    <row r="2542" spans="1:9" ht="56.25">
      <c r="A2542" s="1079"/>
      <c r="B2542" s="901" t="s">
        <v>2521</v>
      </c>
      <c r="C2542" s="920">
        <f>49193+60000.95</f>
        <v>109193.95</v>
      </c>
      <c r="D2542" s="920"/>
      <c r="E2542" s="943">
        <f>49193+60000.95</f>
        <v>109193.95</v>
      </c>
      <c r="F2542" s="850"/>
      <c r="G2542" s="851"/>
      <c r="H2542" s="840">
        <f t="shared" si="78"/>
        <v>0</v>
      </c>
      <c r="I2542" s="840">
        <f t="shared" si="79"/>
        <v>218387.9</v>
      </c>
    </row>
    <row r="2543" spans="1:9" ht="93.75">
      <c r="A2543" s="1079"/>
      <c r="B2543" s="475" t="s">
        <v>2866</v>
      </c>
      <c r="C2543" s="905">
        <v>40000</v>
      </c>
      <c r="D2543" s="905"/>
      <c r="E2543" s="905">
        <v>40000</v>
      </c>
      <c r="F2543" s="851"/>
      <c r="G2543" s="851"/>
      <c r="H2543" s="840">
        <f t="shared" si="78"/>
        <v>0</v>
      </c>
      <c r="I2543" s="840">
        <f t="shared" si="79"/>
        <v>80000</v>
      </c>
    </row>
    <row r="2544" spans="1:9">
      <c r="A2544" s="1081"/>
      <c r="B2544" s="461" t="s">
        <v>253</v>
      </c>
      <c r="C2544" s="941">
        <f>SUM(C2539:C2543)</f>
        <v>204193.95</v>
      </c>
      <c r="D2544" s="941">
        <f>SUM(D2539:D2543)</f>
        <v>55000</v>
      </c>
      <c r="E2544" s="941">
        <f>SUM(E2539:E2543)</f>
        <v>149193.95000000001</v>
      </c>
      <c r="F2544" s="850"/>
      <c r="G2544" s="851"/>
      <c r="H2544" s="840">
        <f t="shared" si="78"/>
        <v>0</v>
      </c>
      <c r="I2544" s="840">
        <f t="shared" si="79"/>
        <v>408387.9</v>
      </c>
    </row>
    <row r="2545" spans="1:9" hidden="1">
      <c r="A2545" s="1079" t="s">
        <v>326</v>
      </c>
      <c r="B2545" s="475"/>
      <c r="C2545" s="916"/>
      <c r="D2545" s="916"/>
      <c r="E2545" s="905"/>
      <c r="F2545" s="851"/>
      <c r="G2545" s="851"/>
      <c r="H2545" s="840">
        <f t="shared" si="78"/>
        <v>0</v>
      </c>
      <c r="I2545" s="840">
        <f t="shared" si="79"/>
        <v>0</v>
      </c>
    </row>
    <row r="2546" spans="1:9" hidden="1">
      <c r="A2546" s="1079"/>
      <c r="B2546" s="475"/>
      <c r="C2546" s="916"/>
      <c r="D2546" s="916"/>
      <c r="E2546" s="916"/>
      <c r="F2546" s="851"/>
      <c r="G2546" s="851"/>
      <c r="H2546" s="840">
        <f t="shared" si="78"/>
        <v>0</v>
      </c>
      <c r="I2546" s="840">
        <f t="shared" si="79"/>
        <v>0</v>
      </c>
    </row>
    <row r="2547" spans="1:9" hidden="1">
      <c r="A2547" s="1148"/>
      <c r="B2547" s="461" t="s">
        <v>253</v>
      </c>
      <c r="C2547" s="941">
        <f>SUM(C2545:C2546)</f>
        <v>0</v>
      </c>
      <c r="D2547" s="941">
        <f>SUM(D2545:D2546)</f>
        <v>0</v>
      </c>
      <c r="E2547" s="941">
        <f>SUM(E2545:E2546)</f>
        <v>0</v>
      </c>
      <c r="F2547" s="851"/>
      <c r="G2547" s="851"/>
      <c r="H2547" s="840">
        <f t="shared" si="78"/>
        <v>0</v>
      </c>
      <c r="I2547" s="840">
        <f t="shared" si="79"/>
        <v>0</v>
      </c>
    </row>
    <row r="2548" spans="1:9" hidden="1">
      <c r="A2548" s="1078" t="s">
        <v>327</v>
      </c>
      <c r="B2548" s="867"/>
      <c r="C2548" s="944"/>
      <c r="D2548" s="916"/>
      <c r="E2548" s="905"/>
      <c r="F2548" s="851"/>
      <c r="G2548" s="851"/>
      <c r="H2548" s="840">
        <f t="shared" si="78"/>
        <v>0</v>
      </c>
      <c r="I2548" s="840">
        <f t="shared" si="79"/>
        <v>0</v>
      </c>
    </row>
    <row r="2549" spans="1:9" hidden="1">
      <c r="A2549" s="1079"/>
      <c r="B2549" s="475"/>
      <c r="C2549" s="916"/>
      <c r="D2549" s="916"/>
      <c r="E2549" s="916"/>
      <c r="F2549" s="851"/>
      <c r="G2549" s="851"/>
      <c r="H2549" s="840">
        <f t="shared" si="78"/>
        <v>0</v>
      </c>
      <c r="I2549" s="840">
        <f t="shared" si="79"/>
        <v>0</v>
      </c>
    </row>
    <row r="2550" spans="1:9" hidden="1">
      <c r="A2550" s="1148"/>
      <c r="B2550" s="461" t="s">
        <v>253</v>
      </c>
      <c r="C2550" s="941">
        <f>SUM(C2548:C2549)</f>
        <v>0</v>
      </c>
      <c r="D2550" s="941">
        <f>SUM(D2548:D2549)</f>
        <v>0</v>
      </c>
      <c r="E2550" s="941">
        <f>SUM(E2548:E2549)</f>
        <v>0</v>
      </c>
      <c r="F2550" s="851"/>
      <c r="G2550" s="851"/>
      <c r="H2550" s="840">
        <f t="shared" si="78"/>
        <v>0</v>
      </c>
      <c r="I2550" s="840">
        <f t="shared" si="79"/>
        <v>0</v>
      </c>
    </row>
    <row r="2551" spans="1:9" ht="37.5">
      <c r="A2551" s="1078" t="s">
        <v>200</v>
      </c>
      <c r="B2551" s="475" t="s">
        <v>1399</v>
      </c>
      <c r="C2551" s="530">
        <v>10000</v>
      </c>
      <c r="D2551" s="530">
        <v>10000</v>
      </c>
      <c r="E2551" s="905"/>
      <c r="F2551" s="854"/>
      <c r="G2551" s="854"/>
      <c r="H2551" s="840">
        <f t="shared" si="78"/>
        <v>0</v>
      </c>
      <c r="I2551" s="840">
        <f t="shared" si="79"/>
        <v>20000</v>
      </c>
    </row>
    <row r="2552" spans="1:9" ht="37.5">
      <c r="A2552" s="1079"/>
      <c r="B2552" s="475" t="s">
        <v>1400</v>
      </c>
      <c r="C2552" s="530">
        <v>10000</v>
      </c>
      <c r="D2552" s="530"/>
      <c r="E2552" s="905">
        <v>10000</v>
      </c>
      <c r="F2552" s="841"/>
      <c r="G2552" s="841"/>
      <c r="H2552" s="840">
        <f t="shared" si="78"/>
        <v>0</v>
      </c>
      <c r="I2552" s="840">
        <f t="shared" si="79"/>
        <v>20000</v>
      </c>
    </row>
    <row r="2553" spans="1:9" ht="37.5">
      <c r="A2553" s="1079"/>
      <c r="B2553" s="475" t="s">
        <v>1401</v>
      </c>
      <c r="C2553" s="530">
        <v>10000</v>
      </c>
      <c r="D2553" s="530">
        <v>10000</v>
      </c>
      <c r="E2553" s="905"/>
      <c r="F2553" s="841"/>
      <c r="G2553" s="841"/>
      <c r="H2553" s="840">
        <f t="shared" si="78"/>
        <v>0</v>
      </c>
      <c r="I2553" s="840">
        <f t="shared" si="79"/>
        <v>20000</v>
      </c>
    </row>
    <row r="2554" spans="1:9" ht="93.75">
      <c r="A2554" s="1079"/>
      <c r="B2554" s="475" t="s">
        <v>1402</v>
      </c>
      <c r="C2554" s="530">
        <v>15000</v>
      </c>
      <c r="D2554" s="530"/>
      <c r="E2554" s="905">
        <v>15000</v>
      </c>
      <c r="F2554" s="841"/>
      <c r="G2554" s="841"/>
      <c r="H2554" s="840">
        <f t="shared" si="78"/>
        <v>0</v>
      </c>
      <c r="I2554" s="840">
        <f t="shared" si="79"/>
        <v>30000</v>
      </c>
    </row>
    <row r="2555" spans="1:9" s="302" customFormat="1" ht="56.25">
      <c r="A2555" s="1079"/>
      <c r="B2555" s="475" t="s">
        <v>2150</v>
      </c>
      <c r="C2555" s="908">
        <v>20000</v>
      </c>
      <c r="D2555" s="908"/>
      <c r="E2555" s="905">
        <v>20000</v>
      </c>
      <c r="F2555" s="841"/>
      <c r="G2555" s="841"/>
      <c r="H2555" s="840">
        <f t="shared" si="78"/>
        <v>0</v>
      </c>
      <c r="I2555" s="840">
        <f t="shared" si="79"/>
        <v>40000</v>
      </c>
    </row>
    <row r="2556" spans="1:9" s="302" customFormat="1" ht="56.25">
      <c r="A2556" s="1079"/>
      <c r="B2556" s="475" t="s">
        <v>3060</v>
      </c>
      <c r="C2556" s="905">
        <v>20000</v>
      </c>
      <c r="D2556" s="905"/>
      <c r="E2556" s="905">
        <v>20000</v>
      </c>
      <c r="F2556" s="841"/>
      <c r="G2556" s="841"/>
      <c r="H2556" s="840">
        <f t="shared" si="78"/>
        <v>0</v>
      </c>
      <c r="I2556" s="840">
        <f t="shared" si="79"/>
        <v>40000</v>
      </c>
    </row>
    <row r="2557" spans="1:9" s="302" customFormat="1" ht="56.25">
      <c r="A2557" s="1079"/>
      <c r="B2557" s="475" t="s">
        <v>2151</v>
      </c>
      <c r="C2557" s="908">
        <v>8000</v>
      </c>
      <c r="D2557" s="908"/>
      <c r="E2557" s="905">
        <v>8000</v>
      </c>
      <c r="F2557" s="841"/>
      <c r="G2557" s="841"/>
      <c r="H2557" s="840">
        <f t="shared" si="78"/>
        <v>0</v>
      </c>
      <c r="I2557" s="840">
        <f t="shared" si="79"/>
        <v>16000</v>
      </c>
    </row>
    <row r="2558" spans="1:9" ht="56.25">
      <c r="A2558" s="1079"/>
      <c r="B2558" s="475" t="s">
        <v>2152</v>
      </c>
      <c r="C2558" s="908">
        <v>15000</v>
      </c>
      <c r="D2558" s="908">
        <v>15000</v>
      </c>
      <c r="E2558" s="905"/>
      <c r="F2558" s="841"/>
      <c r="G2558" s="841"/>
      <c r="H2558" s="840">
        <f t="shared" si="78"/>
        <v>0</v>
      </c>
      <c r="I2558" s="840">
        <f t="shared" si="79"/>
        <v>30000</v>
      </c>
    </row>
    <row r="2559" spans="1:9" s="302" customFormat="1" ht="56.25">
      <c r="A2559" s="1079"/>
      <c r="B2559" s="535" t="s">
        <v>2153</v>
      </c>
      <c r="C2559" s="908">
        <v>15000</v>
      </c>
      <c r="D2559" s="908">
        <v>15000</v>
      </c>
      <c r="E2559" s="905"/>
      <c r="F2559" s="841"/>
      <c r="G2559" s="841"/>
      <c r="H2559" s="840">
        <f t="shared" si="78"/>
        <v>0</v>
      </c>
      <c r="I2559" s="840">
        <f t="shared" si="79"/>
        <v>30000</v>
      </c>
    </row>
    <row r="2560" spans="1:9" s="302" customFormat="1" ht="75">
      <c r="A2560" s="1079"/>
      <c r="B2560" s="535" t="s">
        <v>2154</v>
      </c>
      <c r="C2560" s="908">
        <v>10000</v>
      </c>
      <c r="D2560" s="908">
        <v>10000</v>
      </c>
      <c r="E2560" s="905"/>
      <c r="F2560" s="841"/>
      <c r="G2560" s="841"/>
      <c r="H2560" s="840">
        <f t="shared" si="78"/>
        <v>0</v>
      </c>
      <c r="I2560" s="840">
        <f t="shared" si="79"/>
        <v>20000</v>
      </c>
    </row>
    <row r="2561" spans="1:9" s="302" customFormat="1" ht="93.75">
      <c r="A2561" s="1079"/>
      <c r="B2561" s="475" t="s">
        <v>2463</v>
      </c>
      <c r="C2561" s="908">
        <v>9000</v>
      </c>
      <c r="D2561" s="908"/>
      <c r="E2561" s="905">
        <v>9000</v>
      </c>
      <c r="F2561" s="841"/>
      <c r="G2561" s="841"/>
      <c r="H2561" s="840">
        <f t="shared" si="78"/>
        <v>0</v>
      </c>
      <c r="I2561" s="840">
        <f t="shared" si="79"/>
        <v>18000</v>
      </c>
    </row>
    <row r="2562" spans="1:9" s="302" customFormat="1" ht="37.5">
      <c r="A2562" s="1079"/>
      <c r="B2562" s="475" t="s">
        <v>2464</v>
      </c>
      <c r="C2562" s="908">
        <v>25000</v>
      </c>
      <c r="D2562" s="908"/>
      <c r="E2562" s="905">
        <v>25000</v>
      </c>
      <c r="F2562" s="841"/>
      <c r="G2562" s="841"/>
      <c r="H2562" s="840">
        <f t="shared" si="78"/>
        <v>0</v>
      </c>
      <c r="I2562" s="840">
        <f t="shared" si="79"/>
        <v>50000</v>
      </c>
    </row>
    <row r="2563" spans="1:9" s="302" customFormat="1" ht="112.5">
      <c r="A2563" s="1079"/>
      <c r="B2563" s="475" t="s">
        <v>2529</v>
      </c>
      <c r="C2563" s="908">
        <v>18000</v>
      </c>
      <c r="D2563" s="908"/>
      <c r="E2563" s="905">
        <v>18000</v>
      </c>
      <c r="F2563" s="841"/>
      <c r="G2563" s="841"/>
      <c r="H2563" s="840">
        <f t="shared" si="78"/>
        <v>0</v>
      </c>
      <c r="I2563" s="840">
        <f t="shared" si="79"/>
        <v>36000</v>
      </c>
    </row>
    <row r="2564" spans="1:9" s="302" customFormat="1" ht="56.25">
      <c r="A2564" s="1079"/>
      <c r="B2564" s="475" t="s">
        <v>2867</v>
      </c>
      <c r="C2564" s="908">
        <v>10000</v>
      </c>
      <c r="D2564" s="908"/>
      <c r="E2564" s="905">
        <v>10000</v>
      </c>
      <c r="F2564" s="841"/>
      <c r="G2564" s="841"/>
      <c r="H2564" s="840">
        <f t="shared" si="78"/>
        <v>0</v>
      </c>
      <c r="I2564" s="840">
        <f t="shared" si="79"/>
        <v>20000</v>
      </c>
    </row>
    <row r="2565" spans="1:9" s="302" customFormat="1" ht="93.75">
      <c r="A2565" s="1079"/>
      <c r="B2565" s="475" t="s">
        <v>2868</v>
      </c>
      <c r="C2565" s="915">
        <v>10000</v>
      </c>
      <c r="D2565" s="915">
        <v>10000</v>
      </c>
      <c r="E2565" s="914"/>
      <c r="F2565" s="841"/>
      <c r="G2565" s="841"/>
      <c r="H2565" s="840">
        <f t="shared" si="78"/>
        <v>0</v>
      </c>
      <c r="I2565" s="840">
        <f t="shared" si="79"/>
        <v>20000</v>
      </c>
    </row>
    <row r="2566" spans="1:9" s="302" customFormat="1" ht="75">
      <c r="A2566" s="1079"/>
      <c r="B2566" s="475" t="s">
        <v>2869</v>
      </c>
      <c r="C2566" s="908">
        <v>20000</v>
      </c>
      <c r="D2566" s="908"/>
      <c r="E2566" s="905">
        <v>20000</v>
      </c>
      <c r="F2566" s="841"/>
      <c r="G2566" s="841"/>
      <c r="H2566" s="840">
        <f t="shared" si="78"/>
        <v>0</v>
      </c>
      <c r="I2566" s="840">
        <f t="shared" si="79"/>
        <v>40000</v>
      </c>
    </row>
    <row r="2567" spans="1:9" s="302" customFormat="1" ht="75">
      <c r="A2567" s="1079"/>
      <c r="B2567" s="535" t="s">
        <v>2870</v>
      </c>
      <c r="C2567" s="914">
        <v>10000</v>
      </c>
      <c r="D2567" s="914">
        <v>10000</v>
      </c>
      <c r="E2567" s="914"/>
      <c r="F2567" s="841"/>
      <c r="G2567" s="841"/>
      <c r="H2567" s="840">
        <f t="shared" si="78"/>
        <v>0</v>
      </c>
      <c r="I2567" s="840">
        <f t="shared" si="79"/>
        <v>20000</v>
      </c>
    </row>
    <row r="2568" spans="1:9" s="302" customFormat="1" ht="75">
      <c r="A2568" s="1079"/>
      <c r="B2568" s="535" t="s">
        <v>2871</v>
      </c>
      <c r="C2568" s="908">
        <v>10000</v>
      </c>
      <c r="D2568" s="908"/>
      <c r="E2568" s="908">
        <v>10000</v>
      </c>
      <c r="F2568" s="841"/>
      <c r="G2568" s="841"/>
      <c r="H2568" s="840">
        <f t="shared" si="78"/>
        <v>0</v>
      </c>
      <c r="I2568" s="840">
        <f t="shared" si="79"/>
        <v>20000</v>
      </c>
    </row>
    <row r="2569" spans="1:9" s="302" customFormat="1" ht="37.5">
      <c r="A2569" s="1079"/>
      <c r="B2569" s="475" t="s">
        <v>2872</v>
      </c>
      <c r="C2569" s="905">
        <v>10000</v>
      </c>
      <c r="D2569" s="906">
        <v>10000</v>
      </c>
      <c r="E2569" s="906"/>
      <c r="F2569" s="841"/>
      <c r="G2569" s="841"/>
      <c r="H2569" s="840">
        <f t="shared" ref="H2569:H2632" si="80">E2569+D2569-C2569</f>
        <v>0</v>
      </c>
      <c r="I2569" s="840">
        <f t="shared" ref="I2569:I2632" si="81">SUM(C2569:E2569)</f>
        <v>20000</v>
      </c>
    </row>
    <row r="2570" spans="1:9" s="302" customFormat="1" ht="56.25">
      <c r="A2570" s="1079"/>
      <c r="B2570" s="475" t="s">
        <v>2873</v>
      </c>
      <c r="C2570" s="905">
        <v>10000</v>
      </c>
      <c r="D2570" s="906">
        <v>10000</v>
      </c>
      <c r="E2570" s="906"/>
      <c r="F2570" s="841"/>
      <c r="G2570" s="841"/>
      <c r="H2570" s="840">
        <f t="shared" si="80"/>
        <v>0</v>
      </c>
      <c r="I2570" s="840">
        <f t="shared" si="81"/>
        <v>20000</v>
      </c>
    </row>
    <row r="2571" spans="1:9" s="302" customFormat="1" hidden="1">
      <c r="A2571" s="1079"/>
      <c r="B2571" s="475"/>
      <c r="C2571" s="916"/>
      <c r="D2571" s="916"/>
      <c r="E2571" s="905"/>
      <c r="F2571" s="841"/>
      <c r="G2571" s="841"/>
      <c r="H2571" s="840">
        <f t="shared" si="80"/>
        <v>0</v>
      </c>
      <c r="I2571" s="840">
        <f t="shared" si="81"/>
        <v>0</v>
      </c>
    </row>
    <row r="2572" spans="1:9" s="302" customFormat="1" hidden="1">
      <c r="A2572" s="1079"/>
      <c r="B2572" s="475"/>
      <c r="C2572" s="916"/>
      <c r="D2572" s="916"/>
      <c r="E2572" s="905"/>
      <c r="F2572" s="841"/>
      <c r="G2572" s="841"/>
      <c r="H2572" s="840">
        <f t="shared" si="80"/>
        <v>0</v>
      </c>
      <c r="I2572" s="840">
        <f t="shared" si="81"/>
        <v>0</v>
      </c>
    </row>
    <row r="2573" spans="1:9" s="302" customFormat="1" hidden="1">
      <c r="A2573" s="1079"/>
      <c r="B2573" s="475"/>
      <c r="C2573" s="916"/>
      <c r="D2573" s="916"/>
      <c r="E2573" s="905"/>
      <c r="F2573" s="841"/>
      <c r="G2573" s="841"/>
      <c r="H2573" s="840">
        <f t="shared" si="80"/>
        <v>0</v>
      </c>
      <c r="I2573" s="840">
        <f t="shared" si="81"/>
        <v>0</v>
      </c>
    </row>
    <row r="2574" spans="1:9" s="302" customFormat="1" hidden="1">
      <c r="A2574" s="1079"/>
      <c r="B2574" s="475"/>
      <c r="C2574" s="916"/>
      <c r="D2574" s="916"/>
      <c r="E2574" s="905"/>
      <c r="F2574" s="841"/>
      <c r="G2574" s="841"/>
      <c r="H2574" s="840">
        <f t="shared" si="80"/>
        <v>0</v>
      </c>
      <c r="I2574" s="840">
        <f t="shared" si="81"/>
        <v>0</v>
      </c>
    </row>
    <row r="2575" spans="1:9" s="302" customFormat="1" hidden="1">
      <c r="A2575" s="1079"/>
      <c r="B2575" s="475"/>
      <c r="C2575" s="916"/>
      <c r="D2575" s="916"/>
      <c r="E2575" s="905"/>
      <c r="F2575" s="841"/>
      <c r="G2575" s="841"/>
      <c r="H2575" s="840">
        <f t="shared" si="80"/>
        <v>0</v>
      </c>
      <c r="I2575" s="840">
        <f t="shared" si="81"/>
        <v>0</v>
      </c>
    </row>
    <row r="2576" spans="1:9" s="302" customFormat="1" hidden="1">
      <c r="A2576" s="1079"/>
      <c r="B2576" s="475"/>
      <c r="C2576" s="916"/>
      <c r="D2576" s="916"/>
      <c r="E2576" s="905"/>
      <c r="F2576" s="841"/>
      <c r="G2576" s="841"/>
      <c r="H2576" s="840">
        <f t="shared" si="80"/>
        <v>0</v>
      </c>
      <c r="I2576" s="840">
        <f t="shared" si="81"/>
        <v>0</v>
      </c>
    </row>
    <row r="2577" spans="1:9" s="302" customFormat="1" hidden="1">
      <c r="A2577" s="1079"/>
      <c r="B2577" s="475"/>
      <c r="C2577" s="916"/>
      <c r="D2577" s="916"/>
      <c r="E2577" s="905"/>
      <c r="F2577" s="841"/>
      <c r="G2577" s="841"/>
      <c r="H2577" s="840">
        <f t="shared" si="80"/>
        <v>0</v>
      </c>
      <c r="I2577" s="840">
        <f t="shared" si="81"/>
        <v>0</v>
      </c>
    </row>
    <row r="2578" spans="1:9" s="302" customFormat="1" hidden="1">
      <c r="A2578" s="1079"/>
      <c r="B2578" s="475"/>
      <c r="C2578" s="916"/>
      <c r="D2578" s="916"/>
      <c r="E2578" s="905"/>
      <c r="F2578" s="841"/>
      <c r="G2578" s="841"/>
      <c r="H2578" s="840">
        <f t="shared" si="80"/>
        <v>0</v>
      </c>
      <c r="I2578" s="840">
        <f t="shared" si="81"/>
        <v>0</v>
      </c>
    </row>
    <row r="2579" spans="1:9" s="302" customFormat="1" hidden="1">
      <c r="A2579" s="1079"/>
      <c r="B2579" s="475"/>
      <c r="C2579" s="916"/>
      <c r="D2579" s="916"/>
      <c r="E2579" s="905"/>
      <c r="F2579" s="841"/>
      <c r="G2579" s="841"/>
      <c r="H2579" s="840">
        <f t="shared" si="80"/>
        <v>0</v>
      </c>
      <c r="I2579" s="840">
        <f t="shared" si="81"/>
        <v>0</v>
      </c>
    </row>
    <row r="2580" spans="1:9" s="302" customFormat="1" hidden="1">
      <c r="A2580" s="1079"/>
      <c r="B2580" s="475"/>
      <c r="C2580" s="916"/>
      <c r="D2580" s="916"/>
      <c r="E2580" s="905"/>
      <c r="F2580" s="841"/>
      <c r="G2580" s="841"/>
      <c r="H2580" s="840">
        <f t="shared" si="80"/>
        <v>0</v>
      </c>
      <c r="I2580" s="840">
        <f t="shared" si="81"/>
        <v>0</v>
      </c>
    </row>
    <row r="2581" spans="1:9" s="302" customFormat="1" hidden="1">
      <c r="A2581" s="1079"/>
      <c r="B2581" s="475"/>
      <c r="C2581" s="916"/>
      <c r="D2581" s="916"/>
      <c r="E2581" s="905"/>
      <c r="F2581" s="841"/>
      <c r="G2581" s="841"/>
      <c r="H2581" s="840">
        <f t="shared" si="80"/>
        <v>0</v>
      </c>
      <c r="I2581" s="840">
        <f t="shared" si="81"/>
        <v>0</v>
      </c>
    </row>
    <row r="2582" spans="1:9" s="302" customFormat="1" hidden="1">
      <c r="A2582" s="1079"/>
      <c r="B2582" s="475"/>
      <c r="C2582" s="916"/>
      <c r="D2582" s="916"/>
      <c r="E2582" s="905"/>
      <c r="F2582" s="841"/>
      <c r="G2582" s="841"/>
      <c r="H2582" s="840">
        <f t="shared" si="80"/>
        <v>0</v>
      </c>
      <c r="I2582" s="840">
        <f t="shared" si="81"/>
        <v>0</v>
      </c>
    </row>
    <row r="2583" spans="1:9" s="302" customFormat="1" hidden="1">
      <c r="A2583" s="1079"/>
      <c r="B2583" s="475"/>
      <c r="C2583" s="916"/>
      <c r="D2583" s="916"/>
      <c r="E2583" s="905"/>
      <c r="F2583" s="841"/>
      <c r="G2583" s="841"/>
      <c r="H2583" s="840">
        <f t="shared" si="80"/>
        <v>0</v>
      </c>
      <c r="I2583" s="840">
        <f t="shared" si="81"/>
        <v>0</v>
      </c>
    </row>
    <row r="2584" spans="1:9" s="302" customFormat="1" hidden="1">
      <c r="A2584" s="1079"/>
      <c r="B2584" s="475"/>
      <c r="C2584" s="916"/>
      <c r="D2584" s="916"/>
      <c r="E2584" s="905"/>
      <c r="F2584" s="841"/>
      <c r="G2584" s="841"/>
      <c r="H2584" s="840">
        <f t="shared" si="80"/>
        <v>0</v>
      </c>
      <c r="I2584" s="840">
        <f t="shared" si="81"/>
        <v>0</v>
      </c>
    </row>
    <row r="2585" spans="1:9">
      <c r="A2585" s="1148"/>
      <c r="B2585" s="461" t="s">
        <v>253</v>
      </c>
      <c r="C2585" s="919">
        <f>SUM(C2551:C2584)</f>
        <v>265000</v>
      </c>
      <c r="D2585" s="919">
        <f>SUM(D2551:D2584)</f>
        <v>100000</v>
      </c>
      <c r="E2585" s="919">
        <f>SUM(E2551:E2584)</f>
        <v>165000</v>
      </c>
      <c r="F2585" s="865">
        <f>SUM(F2551:F2584)</f>
        <v>0</v>
      </c>
      <c r="G2585" s="866">
        <f>SUM(G2551:G2584)</f>
        <v>0</v>
      </c>
      <c r="H2585" s="840">
        <f t="shared" si="80"/>
        <v>0</v>
      </c>
      <c r="I2585" s="840">
        <f t="shared" si="81"/>
        <v>530000</v>
      </c>
    </row>
    <row r="2586" spans="1:9" ht="112.5">
      <c r="A2586" s="1078" t="s">
        <v>347</v>
      </c>
      <c r="B2586" s="475" t="s">
        <v>953</v>
      </c>
      <c r="C2586" s="530">
        <v>50000</v>
      </c>
      <c r="D2586" s="530"/>
      <c r="E2586" s="530">
        <v>50000</v>
      </c>
      <c r="F2586" s="865"/>
      <c r="G2586" s="866"/>
      <c r="H2586" s="840">
        <f t="shared" si="80"/>
        <v>0</v>
      </c>
      <c r="I2586" s="840">
        <f t="shared" si="81"/>
        <v>100000</v>
      </c>
    </row>
    <row r="2587" spans="1:9" ht="131.25">
      <c r="A2587" s="1079"/>
      <c r="B2587" s="475" t="s">
        <v>1757</v>
      </c>
      <c r="C2587" s="905">
        <v>200000</v>
      </c>
      <c r="D2587" s="905"/>
      <c r="E2587" s="905">
        <v>200000</v>
      </c>
      <c r="F2587" s="865"/>
      <c r="G2587" s="866"/>
      <c r="H2587" s="840">
        <f t="shared" si="80"/>
        <v>0</v>
      </c>
      <c r="I2587" s="840">
        <f t="shared" si="81"/>
        <v>400000</v>
      </c>
    </row>
    <row r="2588" spans="1:9" s="870" customFormat="1" ht="37.5">
      <c r="A2588" s="1079"/>
      <c r="B2588" s="535" t="s">
        <v>1093</v>
      </c>
      <c r="C2588" s="905">
        <v>15000</v>
      </c>
      <c r="D2588" s="905">
        <v>15000</v>
      </c>
      <c r="E2588" s="905"/>
      <c r="F2588" s="868"/>
      <c r="G2588" s="869"/>
      <c r="H2588" s="840">
        <f t="shared" si="80"/>
        <v>0</v>
      </c>
      <c r="I2588" s="840">
        <f t="shared" si="81"/>
        <v>30000</v>
      </c>
    </row>
    <row r="2589" spans="1:9" ht="37.5">
      <c r="A2589" s="1079"/>
      <c r="B2589" s="535" t="s">
        <v>1094</v>
      </c>
      <c r="C2589" s="905">
        <v>7000</v>
      </c>
      <c r="D2589" s="905">
        <v>7000</v>
      </c>
      <c r="E2589" s="905"/>
      <c r="F2589" s="865"/>
      <c r="G2589" s="866"/>
      <c r="H2589" s="840">
        <f t="shared" si="80"/>
        <v>0</v>
      </c>
      <c r="I2589" s="840">
        <f t="shared" si="81"/>
        <v>14000</v>
      </c>
    </row>
    <row r="2590" spans="1:9" ht="37.5">
      <c r="A2590" s="1079"/>
      <c r="B2590" s="535" t="s">
        <v>1095</v>
      </c>
      <c r="C2590" s="905">
        <v>4500</v>
      </c>
      <c r="D2590" s="905">
        <v>4500</v>
      </c>
      <c r="E2590" s="905"/>
      <c r="F2590" s="865"/>
      <c r="G2590" s="866"/>
      <c r="H2590" s="840">
        <f t="shared" si="80"/>
        <v>0</v>
      </c>
      <c r="I2590" s="840">
        <f t="shared" si="81"/>
        <v>9000</v>
      </c>
    </row>
    <row r="2591" spans="1:9" ht="56.25">
      <c r="A2591" s="1079"/>
      <c r="B2591" s="535" t="s">
        <v>1096</v>
      </c>
      <c r="C2591" s="905">
        <v>9500</v>
      </c>
      <c r="D2591" s="905"/>
      <c r="E2591" s="905">
        <v>9500</v>
      </c>
      <c r="F2591" s="865"/>
      <c r="G2591" s="866"/>
      <c r="H2591" s="840">
        <f t="shared" si="80"/>
        <v>0</v>
      </c>
      <c r="I2591" s="840">
        <f t="shared" si="81"/>
        <v>19000</v>
      </c>
    </row>
    <row r="2592" spans="1:9" ht="37.5">
      <c r="A2592" s="1079"/>
      <c r="B2592" s="535" t="s">
        <v>1097</v>
      </c>
      <c r="C2592" s="905">
        <v>4000</v>
      </c>
      <c r="D2592" s="905">
        <v>4000</v>
      </c>
      <c r="E2592" s="905"/>
      <c r="F2592" s="865"/>
      <c r="G2592" s="866"/>
      <c r="H2592" s="840">
        <f t="shared" si="80"/>
        <v>0</v>
      </c>
      <c r="I2592" s="840">
        <f t="shared" si="81"/>
        <v>8000</v>
      </c>
    </row>
    <row r="2593" spans="1:9" ht="37.5">
      <c r="A2593" s="1079"/>
      <c r="B2593" s="535" t="s">
        <v>1098</v>
      </c>
      <c r="C2593" s="905">
        <v>4000</v>
      </c>
      <c r="D2593" s="905">
        <v>4000</v>
      </c>
      <c r="E2593" s="905"/>
      <c r="F2593" s="865"/>
      <c r="G2593" s="866"/>
      <c r="H2593" s="840">
        <f t="shared" si="80"/>
        <v>0</v>
      </c>
      <c r="I2593" s="840">
        <f t="shared" si="81"/>
        <v>8000</v>
      </c>
    </row>
    <row r="2594" spans="1:9" ht="37.5">
      <c r="A2594" s="1079"/>
      <c r="B2594" s="475" t="s">
        <v>1121</v>
      </c>
      <c r="C2594" s="905">
        <v>65000</v>
      </c>
      <c r="D2594" s="905"/>
      <c r="E2594" s="905">
        <v>65000</v>
      </c>
      <c r="F2594" s="865"/>
      <c r="G2594" s="866"/>
      <c r="H2594" s="840">
        <f t="shared" si="80"/>
        <v>0</v>
      </c>
      <c r="I2594" s="840">
        <f t="shared" si="81"/>
        <v>130000</v>
      </c>
    </row>
    <row r="2595" spans="1:9" ht="37.5">
      <c r="A2595" s="1079"/>
      <c r="B2595" s="475" t="s">
        <v>1403</v>
      </c>
      <c r="C2595" s="530">
        <v>102664</v>
      </c>
      <c r="D2595" s="530"/>
      <c r="E2595" s="530">
        <v>102664</v>
      </c>
      <c r="F2595" s="865"/>
      <c r="G2595" s="866"/>
      <c r="H2595" s="840">
        <f t="shared" si="80"/>
        <v>0</v>
      </c>
      <c r="I2595" s="840">
        <f t="shared" si="81"/>
        <v>205328</v>
      </c>
    </row>
    <row r="2596" spans="1:9" ht="56.25">
      <c r="A2596" s="1079"/>
      <c r="B2596" s="475" t="s">
        <v>1404</v>
      </c>
      <c r="C2596" s="530">
        <v>63910</v>
      </c>
      <c r="D2596" s="530"/>
      <c r="E2596" s="530">
        <v>63910</v>
      </c>
      <c r="F2596" s="865"/>
      <c r="G2596" s="866"/>
      <c r="H2596" s="840">
        <f t="shared" si="80"/>
        <v>0</v>
      </c>
      <c r="I2596" s="840">
        <f t="shared" si="81"/>
        <v>127820</v>
      </c>
    </row>
    <row r="2597" spans="1:9" ht="56.25">
      <c r="A2597" s="1079"/>
      <c r="B2597" s="475" t="s">
        <v>1405</v>
      </c>
      <c r="C2597" s="530">
        <v>22700</v>
      </c>
      <c r="D2597" s="530"/>
      <c r="E2597" s="530">
        <v>22700</v>
      </c>
      <c r="F2597" s="865"/>
      <c r="G2597" s="866"/>
      <c r="H2597" s="840">
        <f t="shared" si="80"/>
        <v>0</v>
      </c>
      <c r="I2597" s="840">
        <f t="shared" si="81"/>
        <v>45400</v>
      </c>
    </row>
    <row r="2598" spans="1:9" ht="75">
      <c r="A2598" s="1079"/>
      <c r="B2598" s="475" t="s">
        <v>1406</v>
      </c>
      <c r="C2598" s="530">
        <v>12000</v>
      </c>
      <c r="D2598" s="530"/>
      <c r="E2598" s="530">
        <v>12000</v>
      </c>
      <c r="F2598" s="865"/>
      <c r="G2598" s="866"/>
      <c r="H2598" s="840">
        <f t="shared" si="80"/>
        <v>0</v>
      </c>
      <c r="I2598" s="840">
        <f t="shared" si="81"/>
        <v>24000</v>
      </c>
    </row>
    <row r="2599" spans="1:9" ht="75">
      <c r="A2599" s="1079"/>
      <c r="B2599" s="475" t="s">
        <v>1407</v>
      </c>
      <c r="C2599" s="530">
        <v>40000</v>
      </c>
      <c r="D2599" s="530"/>
      <c r="E2599" s="905">
        <v>40000</v>
      </c>
      <c r="F2599" s="865"/>
      <c r="G2599" s="866"/>
      <c r="H2599" s="840">
        <f t="shared" si="80"/>
        <v>0</v>
      </c>
      <c r="I2599" s="840">
        <f t="shared" si="81"/>
        <v>80000</v>
      </c>
    </row>
    <row r="2600" spans="1:9" ht="37.5">
      <c r="A2600" s="1079"/>
      <c r="B2600" s="475" t="s">
        <v>1408</v>
      </c>
      <c r="C2600" s="530">
        <v>15000</v>
      </c>
      <c r="D2600" s="530"/>
      <c r="E2600" s="905">
        <v>15000</v>
      </c>
      <c r="F2600" s="865"/>
      <c r="G2600" s="866"/>
      <c r="H2600" s="840">
        <f t="shared" si="80"/>
        <v>0</v>
      </c>
      <c r="I2600" s="840">
        <f t="shared" si="81"/>
        <v>30000</v>
      </c>
    </row>
    <row r="2601" spans="1:9" ht="93.75">
      <c r="A2601" s="1079"/>
      <c r="B2601" s="475" t="s">
        <v>1790</v>
      </c>
      <c r="C2601" s="908">
        <v>5000</v>
      </c>
      <c r="D2601" s="908">
        <v>5000</v>
      </c>
      <c r="E2601" s="905"/>
      <c r="F2601" s="865"/>
      <c r="G2601" s="866"/>
      <c r="H2601" s="840">
        <f t="shared" si="80"/>
        <v>0</v>
      </c>
      <c r="I2601" s="840">
        <f t="shared" si="81"/>
        <v>10000</v>
      </c>
    </row>
    <row r="2602" spans="1:9" ht="56.25">
      <c r="A2602" s="1079"/>
      <c r="B2602" s="475" t="s">
        <v>1913</v>
      </c>
      <c r="C2602" s="911">
        <v>300000</v>
      </c>
      <c r="D2602" s="911"/>
      <c r="E2602" s="911">
        <v>300000</v>
      </c>
      <c r="F2602" s="865"/>
      <c r="G2602" s="866"/>
      <c r="H2602" s="840">
        <f t="shared" si="80"/>
        <v>0</v>
      </c>
      <c r="I2602" s="840">
        <f t="shared" si="81"/>
        <v>600000</v>
      </c>
    </row>
    <row r="2603" spans="1:9" ht="56.25">
      <c r="A2603" s="1079"/>
      <c r="B2603" s="475" t="s">
        <v>2155</v>
      </c>
      <c r="C2603" s="908">
        <v>30000</v>
      </c>
      <c r="D2603" s="908"/>
      <c r="E2603" s="905">
        <v>30000</v>
      </c>
      <c r="F2603" s="865"/>
      <c r="G2603" s="866"/>
      <c r="H2603" s="840">
        <f t="shared" si="80"/>
        <v>0</v>
      </c>
      <c r="I2603" s="840">
        <f t="shared" si="81"/>
        <v>60000</v>
      </c>
    </row>
    <row r="2604" spans="1:9" ht="56.25">
      <c r="A2604" s="1079"/>
      <c r="B2604" s="475" t="s">
        <v>2156</v>
      </c>
      <c r="C2604" s="908">
        <v>80000</v>
      </c>
      <c r="D2604" s="908">
        <v>80000</v>
      </c>
      <c r="E2604" s="905"/>
      <c r="F2604" s="865"/>
      <c r="G2604" s="866"/>
      <c r="H2604" s="840">
        <f t="shared" si="80"/>
        <v>0</v>
      </c>
      <c r="I2604" s="840">
        <f t="shared" si="81"/>
        <v>160000</v>
      </c>
    </row>
    <row r="2605" spans="1:9" ht="56.25">
      <c r="A2605" s="1079"/>
      <c r="B2605" s="475" t="s">
        <v>2157</v>
      </c>
      <c r="C2605" s="908">
        <v>3000</v>
      </c>
      <c r="D2605" s="908">
        <v>3000</v>
      </c>
      <c r="E2605" s="905"/>
      <c r="F2605" s="865"/>
      <c r="G2605" s="866"/>
      <c r="H2605" s="840">
        <f t="shared" si="80"/>
        <v>0</v>
      </c>
      <c r="I2605" s="840">
        <f t="shared" si="81"/>
        <v>6000</v>
      </c>
    </row>
    <row r="2606" spans="1:9" ht="56.25">
      <c r="A2606" s="1079"/>
      <c r="B2606" s="475" t="s">
        <v>2158</v>
      </c>
      <c r="C2606" s="908">
        <v>13105</v>
      </c>
      <c r="D2606" s="908">
        <v>13105</v>
      </c>
      <c r="E2606" s="905"/>
      <c r="F2606" s="865"/>
      <c r="G2606" s="866"/>
      <c r="H2606" s="840">
        <f t="shared" si="80"/>
        <v>0</v>
      </c>
      <c r="I2606" s="840">
        <f t="shared" si="81"/>
        <v>26210</v>
      </c>
    </row>
    <row r="2607" spans="1:9" ht="56.25">
      <c r="A2607" s="1079"/>
      <c r="B2607" s="475" t="s">
        <v>2159</v>
      </c>
      <c r="C2607" s="908">
        <v>40000</v>
      </c>
      <c r="D2607" s="908">
        <v>40000</v>
      </c>
      <c r="E2607" s="905"/>
      <c r="F2607" s="865"/>
      <c r="G2607" s="866"/>
      <c r="H2607" s="840">
        <f t="shared" si="80"/>
        <v>0</v>
      </c>
      <c r="I2607" s="840">
        <f t="shared" si="81"/>
        <v>80000</v>
      </c>
    </row>
    <row r="2608" spans="1:9" ht="75">
      <c r="A2608" s="1079"/>
      <c r="B2608" s="846" t="s">
        <v>2874</v>
      </c>
      <c r="C2608" s="933">
        <v>5000</v>
      </c>
      <c r="D2608" s="908">
        <v>5000</v>
      </c>
      <c r="E2608" s="905"/>
      <c r="F2608" s="865"/>
      <c r="G2608" s="866"/>
      <c r="H2608" s="840">
        <f t="shared" si="80"/>
        <v>0</v>
      </c>
      <c r="I2608" s="840">
        <f t="shared" si="81"/>
        <v>10000</v>
      </c>
    </row>
    <row r="2609" spans="1:9" ht="56.25">
      <c r="A2609" s="1079"/>
      <c r="B2609" s="846" t="s">
        <v>2875</v>
      </c>
      <c r="C2609" s="908">
        <v>2400</v>
      </c>
      <c r="D2609" s="908">
        <v>2400</v>
      </c>
      <c r="E2609" s="908"/>
      <c r="F2609" s="865"/>
      <c r="G2609" s="866"/>
      <c r="H2609" s="840">
        <f t="shared" si="80"/>
        <v>0</v>
      </c>
      <c r="I2609" s="840">
        <f t="shared" si="81"/>
        <v>4800</v>
      </c>
    </row>
    <row r="2610" spans="1:9" ht="56.25">
      <c r="A2610" s="1079"/>
      <c r="B2610" s="475" t="s">
        <v>2876</v>
      </c>
      <c r="C2610" s="908">
        <v>30000</v>
      </c>
      <c r="D2610" s="908"/>
      <c r="E2610" s="905">
        <v>30000</v>
      </c>
      <c r="F2610" s="865"/>
      <c r="G2610" s="866"/>
      <c r="H2610" s="840">
        <f t="shared" si="80"/>
        <v>0</v>
      </c>
      <c r="I2610" s="840">
        <f t="shared" si="81"/>
        <v>60000</v>
      </c>
    </row>
    <row r="2611" spans="1:9" ht="75">
      <c r="A2611" s="1079"/>
      <c r="B2611" s="475" t="s">
        <v>2877</v>
      </c>
      <c r="C2611" s="908">
        <v>80000</v>
      </c>
      <c r="D2611" s="908">
        <v>80000</v>
      </c>
      <c r="E2611" s="905"/>
      <c r="F2611" s="865"/>
      <c r="G2611" s="866"/>
      <c r="H2611" s="840">
        <f t="shared" si="80"/>
        <v>0</v>
      </c>
      <c r="I2611" s="840">
        <f t="shared" si="81"/>
        <v>160000</v>
      </c>
    </row>
    <row r="2612" spans="1:9" ht="56.25">
      <c r="A2612" s="1079"/>
      <c r="B2612" s="475" t="s">
        <v>2878</v>
      </c>
      <c r="C2612" s="908">
        <v>15000</v>
      </c>
      <c r="D2612" s="908"/>
      <c r="E2612" s="905">
        <v>15000</v>
      </c>
      <c r="F2612" s="865"/>
      <c r="G2612" s="866"/>
      <c r="H2612" s="840">
        <f t="shared" si="80"/>
        <v>0</v>
      </c>
      <c r="I2612" s="840">
        <f t="shared" si="81"/>
        <v>30000</v>
      </c>
    </row>
    <row r="2613" spans="1:9" ht="56.25">
      <c r="A2613" s="1079"/>
      <c r="B2613" s="475" t="s">
        <v>2879</v>
      </c>
      <c r="C2613" s="908">
        <v>6000</v>
      </c>
      <c r="D2613" s="908">
        <v>6000</v>
      </c>
      <c r="E2613" s="905"/>
      <c r="F2613" s="865"/>
      <c r="G2613" s="866"/>
      <c r="H2613" s="840">
        <f t="shared" si="80"/>
        <v>0</v>
      </c>
      <c r="I2613" s="840">
        <f t="shared" si="81"/>
        <v>12000</v>
      </c>
    </row>
    <row r="2614" spans="1:9" ht="56.25">
      <c r="A2614" s="1079"/>
      <c r="B2614" s="475" t="s">
        <v>2880</v>
      </c>
      <c r="C2614" s="908">
        <v>13441</v>
      </c>
      <c r="D2614" s="908"/>
      <c r="E2614" s="905">
        <v>13441</v>
      </c>
      <c r="F2614" s="865"/>
      <c r="G2614" s="866"/>
      <c r="H2614" s="840">
        <f t="shared" si="80"/>
        <v>0</v>
      </c>
      <c r="I2614" s="840">
        <f t="shared" si="81"/>
        <v>26882</v>
      </c>
    </row>
    <row r="2615" spans="1:9" ht="75">
      <c r="A2615" s="1079"/>
      <c r="B2615" s="475" t="s">
        <v>964</v>
      </c>
      <c r="C2615" s="916">
        <v>200000</v>
      </c>
      <c r="D2615" s="916"/>
      <c r="E2615" s="905">
        <v>200000</v>
      </c>
      <c r="F2615" s="865"/>
      <c r="G2615" s="866"/>
      <c r="H2615" s="840">
        <f t="shared" si="80"/>
        <v>0</v>
      </c>
      <c r="I2615" s="840">
        <f t="shared" si="81"/>
        <v>400000</v>
      </c>
    </row>
    <row r="2616" spans="1:9" hidden="1">
      <c r="A2616" s="1079"/>
      <c r="B2616" s="475"/>
      <c r="C2616" s="916"/>
      <c r="D2616" s="916"/>
      <c r="E2616" s="905"/>
      <c r="F2616" s="865"/>
      <c r="G2616" s="866"/>
      <c r="H2616" s="840">
        <f t="shared" si="80"/>
        <v>0</v>
      </c>
      <c r="I2616" s="840">
        <f t="shared" si="81"/>
        <v>0</v>
      </c>
    </row>
    <row r="2617" spans="1:9" hidden="1">
      <c r="A2617" s="1079"/>
      <c r="B2617" s="475"/>
      <c r="C2617" s="916"/>
      <c r="D2617" s="916"/>
      <c r="E2617" s="905"/>
      <c r="F2617" s="865"/>
      <c r="G2617" s="866"/>
      <c r="H2617" s="840">
        <f t="shared" si="80"/>
        <v>0</v>
      </c>
      <c r="I2617" s="840">
        <f t="shared" si="81"/>
        <v>0</v>
      </c>
    </row>
    <row r="2618" spans="1:9" hidden="1">
      <c r="A2618" s="1079"/>
      <c r="B2618" s="475"/>
      <c r="C2618" s="916"/>
      <c r="D2618" s="916"/>
      <c r="E2618" s="905"/>
      <c r="F2618" s="865"/>
      <c r="G2618" s="866"/>
      <c r="H2618" s="840">
        <f t="shared" si="80"/>
        <v>0</v>
      </c>
      <c r="I2618" s="840">
        <f t="shared" si="81"/>
        <v>0</v>
      </c>
    </row>
    <row r="2619" spans="1:9" hidden="1">
      <c r="A2619" s="1079"/>
      <c r="B2619" s="475"/>
      <c r="C2619" s="916"/>
      <c r="D2619" s="916"/>
      <c r="E2619" s="905"/>
      <c r="F2619" s="865"/>
      <c r="G2619" s="866"/>
      <c r="H2619" s="840">
        <f t="shared" si="80"/>
        <v>0</v>
      </c>
      <c r="I2619" s="840">
        <f t="shared" si="81"/>
        <v>0</v>
      </c>
    </row>
    <row r="2620" spans="1:9">
      <c r="A2620" s="1148"/>
      <c r="B2620" s="461" t="s">
        <v>253</v>
      </c>
      <c r="C2620" s="919">
        <f>SUM(C2586:C2619)</f>
        <v>1438220</v>
      </c>
      <c r="D2620" s="919">
        <f>SUM(D2586:D2619)</f>
        <v>269005</v>
      </c>
      <c r="E2620" s="919">
        <f>SUM(E2586:E2619)</f>
        <v>1169215</v>
      </c>
      <c r="F2620" s="865"/>
      <c r="G2620" s="866"/>
      <c r="H2620" s="840">
        <f t="shared" si="80"/>
        <v>0</v>
      </c>
      <c r="I2620" s="840">
        <f t="shared" si="81"/>
        <v>2876440</v>
      </c>
    </row>
    <row r="2621" spans="1:9" ht="56.25">
      <c r="A2621" s="1078" t="s">
        <v>348</v>
      </c>
      <c r="B2621" s="475" t="s">
        <v>950</v>
      </c>
      <c r="C2621" s="530">
        <v>180000</v>
      </c>
      <c r="D2621" s="530"/>
      <c r="E2621" s="905">
        <v>180000</v>
      </c>
      <c r="F2621" s="865"/>
      <c r="G2621" s="866"/>
      <c r="H2621" s="840">
        <f t="shared" si="80"/>
        <v>0</v>
      </c>
      <c r="I2621" s="840">
        <f t="shared" si="81"/>
        <v>360000</v>
      </c>
    </row>
    <row r="2622" spans="1:9" ht="75">
      <c r="A2622" s="1079"/>
      <c r="B2622" s="535" t="s">
        <v>1099</v>
      </c>
      <c r="C2622" s="905">
        <v>50000</v>
      </c>
      <c r="D2622" s="905">
        <v>50000</v>
      </c>
      <c r="E2622" s="905"/>
      <c r="F2622" s="865"/>
      <c r="G2622" s="866"/>
      <c r="H2622" s="840">
        <f t="shared" si="80"/>
        <v>0</v>
      </c>
      <c r="I2622" s="840">
        <f t="shared" si="81"/>
        <v>100000</v>
      </c>
    </row>
    <row r="2623" spans="1:9" ht="93.75">
      <c r="A2623" s="1079"/>
      <c r="B2623" s="475" t="s">
        <v>1409</v>
      </c>
      <c r="C2623" s="530">
        <v>15000</v>
      </c>
      <c r="D2623" s="530">
        <v>15000</v>
      </c>
      <c r="E2623" s="905"/>
      <c r="F2623" s="865"/>
      <c r="G2623" s="866"/>
      <c r="H2623" s="840">
        <f t="shared" si="80"/>
        <v>0</v>
      </c>
      <c r="I2623" s="840">
        <f t="shared" si="81"/>
        <v>30000</v>
      </c>
    </row>
    <row r="2624" spans="1:9" ht="75">
      <c r="A2624" s="1079"/>
      <c r="B2624" s="475" t="s">
        <v>1410</v>
      </c>
      <c r="C2624" s="530">
        <v>30000</v>
      </c>
      <c r="D2624" s="530"/>
      <c r="E2624" s="530">
        <v>30000</v>
      </c>
      <c r="F2624" s="865"/>
      <c r="G2624" s="866"/>
      <c r="H2624" s="840">
        <f t="shared" si="80"/>
        <v>0</v>
      </c>
      <c r="I2624" s="840">
        <f t="shared" si="81"/>
        <v>60000</v>
      </c>
    </row>
    <row r="2625" spans="1:9" ht="56.25">
      <c r="A2625" s="1079"/>
      <c r="B2625" s="475" t="s">
        <v>1411</v>
      </c>
      <c r="C2625" s="530">
        <v>40000</v>
      </c>
      <c r="D2625" s="530"/>
      <c r="E2625" s="530">
        <v>40000</v>
      </c>
      <c r="F2625" s="865"/>
      <c r="G2625" s="866"/>
      <c r="H2625" s="840">
        <f t="shared" si="80"/>
        <v>0</v>
      </c>
      <c r="I2625" s="840">
        <f t="shared" si="81"/>
        <v>80000</v>
      </c>
    </row>
    <row r="2626" spans="1:9" ht="56.25">
      <c r="A2626" s="1079"/>
      <c r="B2626" s="475" t="s">
        <v>1412</v>
      </c>
      <c r="C2626" s="530">
        <v>20000</v>
      </c>
      <c r="D2626" s="530">
        <v>20000</v>
      </c>
      <c r="E2626" s="905"/>
      <c r="F2626" s="865"/>
      <c r="G2626" s="866"/>
      <c r="H2626" s="840">
        <f t="shared" si="80"/>
        <v>0</v>
      </c>
      <c r="I2626" s="840">
        <f t="shared" si="81"/>
        <v>40000</v>
      </c>
    </row>
    <row r="2627" spans="1:9" ht="56.25">
      <c r="A2627" s="1079"/>
      <c r="B2627" s="475" t="s">
        <v>1413</v>
      </c>
      <c r="C2627" s="530">
        <v>30000</v>
      </c>
      <c r="D2627" s="530">
        <v>6000</v>
      </c>
      <c r="E2627" s="905">
        <v>24000</v>
      </c>
      <c r="F2627" s="865"/>
      <c r="G2627" s="866"/>
      <c r="H2627" s="840">
        <f t="shared" si="80"/>
        <v>0</v>
      </c>
      <c r="I2627" s="840">
        <f t="shared" si="81"/>
        <v>60000</v>
      </c>
    </row>
    <row r="2628" spans="1:9" ht="75">
      <c r="A2628" s="1079"/>
      <c r="B2628" s="475" t="s">
        <v>1414</v>
      </c>
      <c r="C2628" s="530">
        <v>25000</v>
      </c>
      <c r="D2628" s="932"/>
      <c r="E2628" s="932">
        <v>25000</v>
      </c>
      <c r="F2628" s="865"/>
      <c r="G2628" s="866"/>
      <c r="H2628" s="840">
        <f t="shared" si="80"/>
        <v>0</v>
      </c>
      <c r="I2628" s="840">
        <f t="shared" si="81"/>
        <v>50000</v>
      </c>
    </row>
    <row r="2629" spans="1:9" ht="131.25">
      <c r="A2629" s="1079"/>
      <c r="B2629" s="475" t="s">
        <v>1791</v>
      </c>
      <c r="C2629" s="908">
        <v>1278</v>
      </c>
      <c r="D2629" s="908">
        <v>1278</v>
      </c>
      <c r="E2629" s="905"/>
      <c r="F2629" s="865"/>
      <c r="G2629" s="866"/>
      <c r="H2629" s="840">
        <f t="shared" si="80"/>
        <v>0</v>
      </c>
      <c r="I2629" s="840">
        <f t="shared" si="81"/>
        <v>2556</v>
      </c>
    </row>
    <row r="2630" spans="1:9" ht="75">
      <c r="A2630" s="1079"/>
      <c r="B2630" s="535" t="s">
        <v>3054</v>
      </c>
      <c r="C2630" s="908">
        <v>50000</v>
      </c>
      <c r="D2630" s="908">
        <v>50000</v>
      </c>
      <c r="E2630" s="905"/>
      <c r="F2630" s="865"/>
      <c r="G2630" s="866"/>
      <c r="H2630" s="840">
        <f t="shared" si="80"/>
        <v>0</v>
      </c>
      <c r="I2630" s="840">
        <f t="shared" si="81"/>
        <v>100000</v>
      </c>
    </row>
    <row r="2631" spans="1:9" ht="93.75">
      <c r="A2631" s="1079"/>
      <c r="B2631" s="475" t="s">
        <v>1792</v>
      </c>
      <c r="C2631" s="908">
        <v>24000</v>
      </c>
      <c r="D2631" s="908">
        <v>24000</v>
      </c>
      <c r="E2631" s="905"/>
      <c r="F2631" s="865"/>
      <c r="G2631" s="866"/>
      <c r="H2631" s="840">
        <f t="shared" si="80"/>
        <v>0</v>
      </c>
      <c r="I2631" s="840">
        <f t="shared" si="81"/>
        <v>48000</v>
      </c>
    </row>
    <row r="2632" spans="1:9" ht="93.75">
      <c r="A2632" s="1079"/>
      <c r="B2632" s="475" t="s">
        <v>2639</v>
      </c>
      <c r="C2632" s="908">
        <v>50000</v>
      </c>
      <c r="D2632" s="911"/>
      <c r="E2632" s="908">
        <v>50000</v>
      </c>
      <c r="F2632" s="865"/>
      <c r="G2632" s="866"/>
      <c r="H2632" s="840">
        <f t="shared" si="80"/>
        <v>0</v>
      </c>
      <c r="I2632" s="840">
        <f t="shared" si="81"/>
        <v>100000</v>
      </c>
    </row>
    <row r="2633" spans="1:9" ht="56.25">
      <c r="A2633" s="1079"/>
      <c r="B2633" s="475" t="s">
        <v>2160</v>
      </c>
      <c r="C2633" s="908">
        <v>50000</v>
      </c>
      <c r="D2633" s="908">
        <v>50000</v>
      </c>
      <c r="E2633" s="905"/>
      <c r="F2633" s="865"/>
      <c r="G2633" s="866"/>
      <c r="H2633" s="840">
        <f t="shared" ref="H2633:H2696" si="82">E2633+D2633-C2633</f>
        <v>0</v>
      </c>
      <c r="I2633" s="840">
        <f t="shared" ref="I2633:I2696" si="83">SUM(C2633:E2633)</f>
        <v>100000</v>
      </c>
    </row>
    <row r="2634" spans="1:9" ht="56.25">
      <c r="A2634" s="1079"/>
      <c r="B2634" s="475" t="s">
        <v>2161</v>
      </c>
      <c r="C2634" s="908">
        <v>25000</v>
      </c>
      <c r="D2634" s="908">
        <v>25000</v>
      </c>
      <c r="E2634" s="905"/>
      <c r="F2634" s="865"/>
      <c r="G2634" s="866"/>
      <c r="H2634" s="840">
        <f t="shared" si="82"/>
        <v>0</v>
      </c>
      <c r="I2634" s="840">
        <f t="shared" si="83"/>
        <v>50000</v>
      </c>
    </row>
    <row r="2635" spans="1:9" ht="75">
      <c r="A2635" s="1079"/>
      <c r="B2635" s="475" t="s">
        <v>2162</v>
      </c>
      <c r="C2635" s="908">
        <v>22883</v>
      </c>
      <c r="D2635" s="908">
        <v>22883</v>
      </c>
      <c r="E2635" s="905"/>
      <c r="F2635" s="865"/>
      <c r="G2635" s="866"/>
      <c r="H2635" s="840">
        <f t="shared" si="82"/>
        <v>0</v>
      </c>
      <c r="I2635" s="840">
        <f t="shared" si="83"/>
        <v>45766</v>
      </c>
    </row>
    <row r="2636" spans="1:9" ht="56.25">
      <c r="A2636" s="1079"/>
      <c r="B2636" s="475" t="s">
        <v>2161</v>
      </c>
      <c r="C2636" s="908">
        <v>25000</v>
      </c>
      <c r="D2636" s="908">
        <v>25000</v>
      </c>
      <c r="E2636" s="905"/>
      <c r="F2636" s="865"/>
      <c r="G2636" s="866"/>
      <c r="H2636" s="840">
        <f t="shared" si="82"/>
        <v>0</v>
      </c>
      <c r="I2636" s="840">
        <f t="shared" si="83"/>
        <v>50000</v>
      </c>
    </row>
    <row r="2637" spans="1:9" ht="93.75">
      <c r="A2637" s="1079"/>
      <c r="B2637" s="475" t="s">
        <v>2602</v>
      </c>
      <c r="C2637" s="905">
        <v>22650</v>
      </c>
      <c r="D2637" s="905">
        <v>8650</v>
      </c>
      <c r="E2637" s="905">
        <v>14000</v>
      </c>
      <c r="F2637" s="865"/>
      <c r="G2637" s="866"/>
      <c r="H2637" s="840">
        <f t="shared" si="82"/>
        <v>0</v>
      </c>
      <c r="I2637" s="840">
        <f t="shared" si="83"/>
        <v>45300</v>
      </c>
    </row>
    <row r="2638" spans="1:9" ht="56.25">
      <c r="A2638" s="1079"/>
      <c r="B2638" s="535" t="s">
        <v>2881</v>
      </c>
      <c r="C2638" s="908">
        <v>30000</v>
      </c>
      <c r="D2638" s="908">
        <v>30000</v>
      </c>
      <c r="E2638" s="905"/>
      <c r="F2638" s="865"/>
      <c r="G2638" s="866"/>
      <c r="H2638" s="840">
        <f t="shared" si="82"/>
        <v>0</v>
      </c>
      <c r="I2638" s="840">
        <f t="shared" si="83"/>
        <v>60000</v>
      </c>
    </row>
    <row r="2639" spans="1:9" ht="56.25">
      <c r="A2639" s="1079"/>
      <c r="B2639" s="475" t="s">
        <v>2882</v>
      </c>
      <c r="C2639" s="915">
        <v>11000</v>
      </c>
      <c r="D2639" s="915"/>
      <c r="E2639" s="914">
        <v>11000</v>
      </c>
      <c r="F2639" s="885"/>
      <c r="G2639" s="879"/>
      <c r="H2639" s="840">
        <f t="shared" si="82"/>
        <v>0</v>
      </c>
      <c r="I2639" s="840">
        <f t="shared" si="83"/>
        <v>22000</v>
      </c>
    </row>
    <row r="2640" spans="1:9" ht="75">
      <c r="A2640" s="1079"/>
      <c r="B2640" s="846" t="s">
        <v>2883</v>
      </c>
      <c r="C2640" s="905">
        <v>30000</v>
      </c>
      <c r="D2640" s="908">
        <v>12716</v>
      </c>
      <c r="E2640" s="905">
        <v>17284</v>
      </c>
      <c r="F2640" s="865"/>
      <c r="G2640" s="866"/>
      <c r="H2640" s="840">
        <f t="shared" si="82"/>
        <v>0</v>
      </c>
      <c r="I2640" s="840">
        <f t="shared" si="83"/>
        <v>60000</v>
      </c>
    </row>
    <row r="2641" spans="1:9" hidden="1">
      <c r="A2641" s="1079"/>
      <c r="B2641" s="475"/>
      <c r="C2641" s="916"/>
      <c r="D2641" s="916"/>
      <c r="E2641" s="905"/>
      <c r="F2641" s="865"/>
      <c r="G2641" s="866"/>
      <c r="H2641" s="840">
        <f t="shared" si="82"/>
        <v>0</v>
      </c>
      <c r="I2641" s="840">
        <f t="shared" si="83"/>
        <v>0</v>
      </c>
    </row>
    <row r="2642" spans="1:9" hidden="1">
      <c r="A2642" s="1079"/>
      <c r="B2642" s="475"/>
      <c r="C2642" s="916"/>
      <c r="D2642" s="916"/>
      <c r="E2642" s="905"/>
      <c r="F2642" s="865"/>
      <c r="G2642" s="866"/>
      <c r="H2642" s="840">
        <f t="shared" si="82"/>
        <v>0</v>
      </c>
      <c r="I2642" s="840">
        <f t="shared" si="83"/>
        <v>0</v>
      </c>
    </row>
    <row r="2643" spans="1:9" hidden="1">
      <c r="A2643" s="1079"/>
      <c r="B2643" s="475"/>
      <c r="C2643" s="916"/>
      <c r="D2643" s="916"/>
      <c r="E2643" s="905"/>
      <c r="F2643" s="865"/>
      <c r="G2643" s="866"/>
      <c r="H2643" s="840">
        <f t="shared" si="82"/>
        <v>0</v>
      </c>
      <c r="I2643" s="840">
        <f t="shared" si="83"/>
        <v>0</v>
      </c>
    </row>
    <row r="2644" spans="1:9" hidden="1">
      <c r="A2644" s="1079"/>
      <c r="B2644" s="475"/>
      <c r="C2644" s="916"/>
      <c r="D2644" s="916"/>
      <c r="E2644" s="905"/>
      <c r="F2644" s="865"/>
      <c r="G2644" s="866"/>
      <c r="H2644" s="840">
        <f t="shared" si="82"/>
        <v>0</v>
      </c>
      <c r="I2644" s="840">
        <f t="shared" si="83"/>
        <v>0</v>
      </c>
    </row>
    <row r="2645" spans="1:9" hidden="1">
      <c r="A2645" s="1079"/>
      <c r="B2645" s="475"/>
      <c r="C2645" s="916"/>
      <c r="D2645" s="916"/>
      <c r="E2645" s="905"/>
      <c r="F2645" s="865"/>
      <c r="G2645" s="866"/>
      <c r="H2645" s="840">
        <f t="shared" si="82"/>
        <v>0</v>
      </c>
      <c r="I2645" s="840">
        <f t="shared" si="83"/>
        <v>0</v>
      </c>
    </row>
    <row r="2646" spans="1:9" hidden="1">
      <c r="A2646" s="1079"/>
      <c r="B2646" s="475"/>
      <c r="C2646" s="916"/>
      <c r="D2646" s="916"/>
      <c r="E2646" s="905"/>
      <c r="F2646" s="865"/>
      <c r="G2646" s="866"/>
      <c r="H2646" s="840">
        <f t="shared" si="82"/>
        <v>0</v>
      </c>
      <c r="I2646" s="840">
        <f t="shared" si="83"/>
        <v>0</v>
      </c>
    </row>
    <row r="2647" spans="1:9" hidden="1">
      <c r="A2647" s="1079"/>
      <c r="B2647" s="475"/>
      <c r="C2647" s="916"/>
      <c r="D2647" s="916"/>
      <c r="E2647" s="905"/>
      <c r="F2647" s="865"/>
      <c r="G2647" s="866"/>
      <c r="H2647" s="840">
        <f t="shared" si="82"/>
        <v>0</v>
      </c>
      <c r="I2647" s="840">
        <f t="shared" si="83"/>
        <v>0</v>
      </c>
    </row>
    <row r="2648" spans="1:9" hidden="1">
      <c r="A2648" s="1079"/>
      <c r="B2648" s="475"/>
      <c r="C2648" s="916"/>
      <c r="D2648" s="916"/>
      <c r="E2648" s="905"/>
      <c r="F2648" s="865"/>
      <c r="G2648" s="866"/>
      <c r="H2648" s="840">
        <f t="shared" si="82"/>
        <v>0</v>
      </c>
      <c r="I2648" s="840">
        <f t="shared" si="83"/>
        <v>0</v>
      </c>
    </row>
    <row r="2649" spans="1:9" hidden="1">
      <c r="A2649" s="1079"/>
      <c r="B2649" s="846"/>
      <c r="C2649" s="904"/>
      <c r="D2649" s="904"/>
      <c r="E2649" s="904"/>
      <c r="F2649" s="865"/>
      <c r="G2649" s="866"/>
      <c r="H2649" s="840">
        <f t="shared" si="82"/>
        <v>0</v>
      </c>
      <c r="I2649" s="840">
        <f t="shared" si="83"/>
        <v>0</v>
      </c>
    </row>
    <row r="2650" spans="1:9" hidden="1">
      <c r="A2650" s="1079"/>
      <c r="B2650" s="846"/>
      <c r="C2650" s="904"/>
      <c r="D2650" s="904"/>
      <c r="E2650" s="904"/>
      <c r="F2650" s="865"/>
      <c r="G2650" s="866"/>
      <c r="H2650" s="840">
        <f t="shared" si="82"/>
        <v>0</v>
      </c>
      <c r="I2650" s="840">
        <f t="shared" si="83"/>
        <v>0</v>
      </c>
    </row>
    <row r="2651" spans="1:9" hidden="1">
      <c r="A2651" s="1079"/>
      <c r="B2651" s="475"/>
      <c r="C2651" s="916"/>
      <c r="D2651" s="916"/>
      <c r="E2651" s="905"/>
      <c r="F2651" s="865"/>
      <c r="G2651" s="866"/>
      <c r="H2651" s="840">
        <f t="shared" si="82"/>
        <v>0</v>
      </c>
      <c r="I2651" s="840">
        <f t="shared" si="83"/>
        <v>0</v>
      </c>
    </row>
    <row r="2652" spans="1:9" hidden="1">
      <c r="A2652" s="1079"/>
      <c r="B2652" s="475"/>
      <c r="C2652" s="916"/>
      <c r="D2652" s="916"/>
      <c r="E2652" s="905"/>
      <c r="F2652" s="865"/>
      <c r="G2652" s="866"/>
      <c r="H2652" s="840">
        <f t="shared" si="82"/>
        <v>0</v>
      </c>
      <c r="I2652" s="840">
        <f t="shared" si="83"/>
        <v>0</v>
      </c>
    </row>
    <row r="2653" spans="1:9" hidden="1">
      <c r="A2653" s="1079"/>
      <c r="B2653" s="475"/>
      <c r="C2653" s="916"/>
      <c r="D2653" s="916"/>
      <c r="E2653" s="905"/>
      <c r="F2653" s="865"/>
      <c r="G2653" s="866"/>
      <c r="H2653" s="840">
        <f t="shared" si="82"/>
        <v>0</v>
      </c>
      <c r="I2653" s="840">
        <f t="shared" si="83"/>
        <v>0</v>
      </c>
    </row>
    <row r="2654" spans="1:9" hidden="1">
      <c r="A2654" s="1079"/>
      <c r="B2654" s="475"/>
      <c r="C2654" s="916"/>
      <c r="D2654" s="916"/>
      <c r="E2654" s="905"/>
      <c r="F2654" s="865"/>
      <c r="G2654" s="866"/>
      <c r="H2654" s="840">
        <f t="shared" si="82"/>
        <v>0</v>
      </c>
      <c r="I2654" s="840">
        <f t="shared" si="83"/>
        <v>0</v>
      </c>
    </row>
    <row r="2655" spans="1:9" hidden="1">
      <c r="A2655" s="1079"/>
      <c r="B2655" s="475"/>
      <c r="C2655" s="916"/>
      <c r="D2655" s="916"/>
      <c r="E2655" s="905"/>
      <c r="F2655" s="865"/>
      <c r="G2655" s="866"/>
      <c r="H2655" s="840">
        <f t="shared" si="82"/>
        <v>0</v>
      </c>
      <c r="I2655" s="840">
        <f t="shared" si="83"/>
        <v>0</v>
      </c>
    </row>
    <row r="2656" spans="1:9" hidden="1">
      <c r="A2656" s="1079"/>
      <c r="B2656" s="475"/>
      <c r="C2656" s="916"/>
      <c r="D2656" s="916"/>
      <c r="E2656" s="905"/>
      <c r="F2656" s="865"/>
      <c r="G2656" s="866"/>
      <c r="H2656" s="840">
        <f t="shared" si="82"/>
        <v>0</v>
      </c>
      <c r="I2656" s="840">
        <f t="shared" si="83"/>
        <v>0</v>
      </c>
    </row>
    <row r="2657" spans="1:9" hidden="1">
      <c r="A2657" s="1079"/>
      <c r="B2657" s="475"/>
      <c r="C2657" s="916"/>
      <c r="D2657" s="916"/>
      <c r="E2657" s="905"/>
      <c r="F2657" s="865"/>
      <c r="G2657" s="866"/>
      <c r="H2657" s="840">
        <f t="shared" si="82"/>
        <v>0</v>
      </c>
      <c r="I2657" s="840">
        <f t="shared" si="83"/>
        <v>0</v>
      </c>
    </row>
    <row r="2658" spans="1:9" hidden="1">
      <c r="A2658" s="1079"/>
      <c r="B2658" s="475"/>
      <c r="C2658" s="916"/>
      <c r="D2658" s="916"/>
      <c r="E2658" s="905"/>
      <c r="F2658" s="865"/>
      <c r="G2658" s="866"/>
      <c r="H2658" s="840">
        <f t="shared" si="82"/>
        <v>0</v>
      </c>
      <c r="I2658" s="840">
        <f t="shared" si="83"/>
        <v>0</v>
      </c>
    </row>
    <row r="2659" spans="1:9" hidden="1">
      <c r="A2659" s="1079"/>
      <c r="B2659" s="475"/>
      <c r="C2659" s="916"/>
      <c r="D2659" s="916"/>
      <c r="E2659" s="905"/>
      <c r="F2659" s="865"/>
      <c r="G2659" s="866"/>
      <c r="H2659" s="840">
        <f t="shared" si="82"/>
        <v>0</v>
      </c>
      <c r="I2659" s="840">
        <f t="shared" si="83"/>
        <v>0</v>
      </c>
    </row>
    <row r="2660" spans="1:9" hidden="1">
      <c r="A2660" s="1079"/>
      <c r="B2660" s="475"/>
      <c r="C2660" s="916"/>
      <c r="D2660" s="916"/>
      <c r="E2660" s="905"/>
      <c r="F2660" s="865"/>
      <c r="G2660" s="866"/>
      <c r="H2660" s="840">
        <f t="shared" si="82"/>
        <v>0</v>
      </c>
      <c r="I2660" s="840">
        <f t="shared" si="83"/>
        <v>0</v>
      </c>
    </row>
    <row r="2661" spans="1:9" hidden="1">
      <c r="A2661" s="1079"/>
      <c r="B2661" s="475"/>
      <c r="C2661" s="916"/>
      <c r="D2661" s="916"/>
      <c r="E2661" s="905"/>
      <c r="F2661" s="865"/>
      <c r="G2661" s="866"/>
      <c r="H2661" s="840">
        <f t="shared" si="82"/>
        <v>0</v>
      </c>
      <c r="I2661" s="840">
        <f t="shared" si="83"/>
        <v>0</v>
      </c>
    </row>
    <row r="2662" spans="1:9" hidden="1">
      <c r="A2662" s="1079"/>
      <c r="B2662" s="475"/>
      <c r="C2662" s="916"/>
      <c r="D2662" s="916"/>
      <c r="E2662" s="905"/>
      <c r="F2662" s="865"/>
      <c r="G2662" s="866"/>
      <c r="H2662" s="840">
        <f t="shared" si="82"/>
        <v>0</v>
      </c>
      <c r="I2662" s="840">
        <f t="shared" si="83"/>
        <v>0</v>
      </c>
    </row>
    <row r="2663" spans="1:9" hidden="1">
      <c r="A2663" s="1079"/>
      <c r="B2663" s="475"/>
      <c r="C2663" s="916"/>
      <c r="D2663" s="916"/>
      <c r="E2663" s="905"/>
      <c r="F2663" s="841"/>
      <c r="G2663" s="841"/>
      <c r="H2663" s="840">
        <f t="shared" si="82"/>
        <v>0</v>
      </c>
      <c r="I2663" s="840">
        <f t="shared" si="83"/>
        <v>0</v>
      </c>
    </row>
    <row r="2664" spans="1:9" s="302" customFormat="1" hidden="1">
      <c r="A2664" s="1079"/>
      <c r="B2664" s="475"/>
      <c r="C2664" s="916"/>
      <c r="D2664" s="916"/>
      <c r="E2664" s="905"/>
      <c r="F2664" s="841"/>
      <c r="G2664" s="841"/>
      <c r="H2664" s="840">
        <f t="shared" si="82"/>
        <v>0</v>
      </c>
      <c r="I2664" s="840">
        <f t="shared" si="83"/>
        <v>0</v>
      </c>
    </row>
    <row r="2665" spans="1:9" s="302" customFormat="1" hidden="1">
      <c r="A2665" s="1079"/>
      <c r="B2665" s="475"/>
      <c r="C2665" s="916"/>
      <c r="D2665" s="916"/>
      <c r="E2665" s="905"/>
      <c r="F2665" s="841"/>
      <c r="G2665" s="841"/>
      <c r="H2665" s="840">
        <f t="shared" si="82"/>
        <v>0</v>
      </c>
      <c r="I2665" s="840">
        <f t="shared" si="83"/>
        <v>0</v>
      </c>
    </row>
    <row r="2666" spans="1:9" s="302" customFormat="1" hidden="1">
      <c r="A2666" s="1079"/>
      <c r="B2666" s="475"/>
      <c r="C2666" s="916"/>
      <c r="D2666" s="916"/>
      <c r="E2666" s="905"/>
      <c r="F2666" s="841"/>
      <c r="G2666" s="841"/>
      <c r="H2666" s="840">
        <f t="shared" si="82"/>
        <v>0</v>
      </c>
      <c r="I2666" s="840">
        <f t="shared" si="83"/>
        <v>0</v>
      </c>
    </row>
    <row r="2667" spans="1:9" s="302" customFormat="1" hidden="1">
      <c r="A2667" s="1079"/>
      <c r="B2667" s="475"/>
      <c r="C2667" s="916"/>
      <c r="D2667" s="916"/>
      <c r="E2667" s="905"/>
      <c r="F2667" s="841"/>
      <c r="G2667" s="841"/>
      <c r="H2667" s="840">
        <f t="shared" si="82"/>
        <v>0</v>
      </c>
      <c r="I2667" s="840">
        <f t="shared" si="83"/>
        <v>0</v>
      </c>
    </row>
    <row r="2668" spans="1:9" s="302" customFormat="1" hidden="1">
      <c r="A2668" s="1079"/>
      <c r="B2668" s="475"/>
      <c r="C2668" s="916"/>
      <c r="D2668" s="916"/>
      <c r="E2668" s="905"/>
      <c r="F2668" s="841"/>
      <c r="G2668" s="841"/>
      <c r="H2668" s="840">
        <f t="shared" si="82"/>
        <v>0</v>
      </c>
      <c r="I2668" s="840">
        <f t="shared" si="83"/>
        <v>0</v>
      </c>
    </row>
    <row r="2669" spans="1:9" s="302" customFormat="1">
      <c r="A2669" s="1148"/>
      <c r="B2669" s="461" t="s">
        <v>253</v>
      </c>
      <c r="C2669" s="919">
        <f>SUM(C2621:C2668)</f>
        <v>731811</v>
      </c>
      <c r="D2669" s="919">
        <f>SUM(D2621:D2668)</f>
        <v>340527</v>
      </c>
      <c r="E2669" s="919">
        <f>SUM(E2621:E2668)</f>
        <v>391284</v>
      </c>
      <c r="F2669" s="841"/>
      <c r="G2669" s="841"/>
      <c r="H2669" s="840">
        <f t="shared" si="82"/>
        <v>0</v>
      </c>
      <c r="I2669" s="840">
        <f t="shared" si="83"/>
        <v>1463622</v>
      </c>
    </row>
    <row r="2670" spans="1:9" s="302" customFormat="1" ht="112.5">
      <c r="A2670" s="1078" t="s">
        <v>279</v>
      </c>
      <c r="B2670" s="475" t="s">
        <v>953</v>
      </c>
      <c r="C2670" s="530">
        <f>200000-46903</f>
        <v>153097</v>
      </c>
      <c r="D2670" s="530"/>
      <c r="E2670" s="905">
        <f>200000-46903</f>
        <v>153097</v>
      </c>
      <c r="F2670" s="841"/>
      <c r="G2670" s="841"/>
      <c r="H2670" s="840">
        <f t="shared" si="82"/>
        <v>0</v>
      </c>
      <c r="I2670" s="840">
        <f t="shared" si="83"/>
        <v>306194</v>
      </c>
    </row>
    <row r="2671" spans="1:9" s="302" customFormat="1" ht="56.25">
      <c r="A2671" s="1079"/>
      <c r="B2671" s="475" t="s">
        <v>950</v>
      </c>
      <c r="C2671" s="530">
        <v>180000</v>
      </c>
      <c r="D2671" s="530"/>
      <c r="E2671" s="905">
        <v>180000</v>
      </c>
      <c r="F2671" s="841"/>
      <c r="G2671" s="841"/>
      <c r="H2671" s="840">
        <f t="shared" si="82"/>
        <v>0</v>
      </c>
      <c r="I2671" s="840">
        <f t="shared" si="83"/>
        <v>360000</v>
      </c>
    </row>
    <row r="2672" spans="1:9" s="302" customFormat="1" ht="56.25">
      <c r="A2672" s="1079"/>
      <c r="B2672" s="535" t="s">
        <v>1100</v>
      </c>
      <c r="C2672" s="905">
        <v>20000</v>
      </c>
      <c r="D2672" s="905">
        <v>20000</v>
      </c>
      <c r="E2672" s="905"/>
      <c r="F2672" s="841"/>
      <c r="G2672" s="841"/>
      <c r="H2672" s="840">
        <f t="shared" si="82"/>
        <v>0</v>
      </c>
      <c r="I2672" s="840">
        <f t="shared" si="83"/>
        <v>40000</v>
      </c>
    </row>
    <row r="2673" spans="1:9" s="302" customFormat="1" ht="37.5">
      <c r="A2673" s="1079"/>
      <c r="B2673" s="535" t="s">
        <v>1101</v>
      </c>
      <c r="C2673" s="905">
        <v>10000</v>
      </c>
      <c r="D2673" s="905">
        <v>10000</v>
      </c>
      <c r="E2673" s="905"/>
      <c r="F2673" s="841"/>
      <c r="G2673" s="841"/>
      <c r="H2673" s="840">
        <f t="shared" si="82"/>
        <v>0</v>
      </c>
      <c r="I2673" s="840">
        <f t="shared" si="83"/>
        <v>20000</v>
      </c>
    </row>
    <row r="2674" spans="1:9" s="302" customFormat="1" ht="37.5">
      <c r="A2674" s="1079"/>
      <c r="B2674" s="535" t="s">
        <v>1102</v>
      </c>
      <c r="C2674" s="905">
        <v>27000</v>
      </c>
      <c r="D2674" s="905">
        <v>27000</v>
      </c>
      <c r="E2674" s="905"/>
      <c r="F2674" s="841"/>
      <c r="G2674" s="841"/>
      <c r="H2674" s="840">
        <f t="shared" si="82"/>
        <v>0</v>
      </c>
      <c r="I2674" s="840">
        <f t="shared" si="83"/>
        <v>54000</v>
      </c>
    </row>
    <row r="2675" spans="1:9" s="302" customFormat="1" ht="37.5">
      <c r="A2675" s="1079"/>
      <c r="B2675" s="475" t="s">
        <v>1122</v>
      </c>
      <c r="C2675" s="905">
        <v>32000</v>
      </c>
      <c r="D2675" s="905">
        <v>32000</v>
      </c>
      <c r="E2675" s="905"/>
      <c r="F2675" s="841"/>
      <c r="G2675" s="841"/>
      <c r="H2675" s="840">
        <f t="shared" si="82"/>
        <v>0</v>
      </c>
      <c r="I2675" s="840">
        <f t="shared" si="83"/>
        <v>64000</v>
      </c>
    </row>
    <row r="2676" spans="1:9" s="302" customFormat="1" ht="37.5">
      <c r="A2676" s="1079"/>
      <c r="B2676" s="475" t="s">
        <v>1123</v>
      </c>
      <c r="C2676" s="905">
        <v>8000</v>
      </c>
      <c r="D2676" s="905"/>
      <c r="E2676" s="905">
        <v>8000</v>
      </c>
      <c r="F2676" s="841"/>
      <c r="G2676" s="841"/>
      <c r="H2676" s="840">
        <f t="shared" si="82"/>
        <v>0</v>
      </c>
      <c r="I2676" s="840">
        <f t="shared" si="83"/>
        <v>16000</v>
      </c>
    </row>
    <row r="2677" spans="1:9" s="302" customFormat="1" ht="56.25">
      <c r="A2677" s="1079"/>
      <c r="B2677" s="535" t="s">
        <v>1126</v>
      </c>
      <c r="C2677" s="905">
        <v>250000</v>
      </c>
      <c r="D2677" s="905"/>
      <c r="E2677" s="905">
        <v>250000</v>
      </c>
      <c r="F2677" s="841"/>
      <c r="G2677" s="841"/>
      <c r="H2677" s="840">
        <f t="shared" si="82"/>
        <v>0</v>
      </c>
      <c r="I2677" s="840">
        <f t="shared" si="83"/>
        <v>500000</v>
      </c>
    </row>
    <row r="2678" spans="1:9" s="302" customFormat="1" ht="75">
      <c r="A2678" s="1079"/>
      <c r="B2678" s="475" t="s">
        <v>1127</v>
      </c>
      <c r="C2678" s="905">
        <v>150000</v>
      </c>
      <c r="D2678" s="905">
        <v>150000</v>
      </c>
      <c r="E2678" s="905"/>
      <c r="F2678" s="841"/>
      <c r="G2678" s="841"/>
      <c r="H2678" s="840">
        <f t="shared" si="82"/>
        <v>0</v>
      </c>
      <c r="I2678" s="840">
        <f t="shared" si="83"/>
        <v>300000</v>
      </c>
    </row>
    <row r="2679" spans="1:9" s="302" customFormat="1" ht="37.5">
      <c r="A2679" s="1079"/>
      <c r="B2679" s="475" t="s">
        <v>1415</v>
      </c>
      <c r="C2679" s="905">
        <v>3000</v>
      </c>
      <c r="D2679" s="905">
        <v>3000</v>
      </c>
      <c r="E2679" s="932"/>
      <c r="F2679" s="841"/>
      <c r="G2679" s="841"/>
      <c r="H2679" s="840">
        <f t="shared" si="82"/>
        <v>0</v>
      </c>
      <c r="I2679" s="840">
        <f t="shared" si="83"/>
        <v>6000</v>
      </c>
    </row>
    <row r="2680" spans="1:9" s="302" customFormat="1" ht="37.5">
      <c r="A2680" s="1079"/>
      <c r="B2680" s="475" t="s">
        <v>1416</v>
      </c>
      <c r="C2680" s="905">
        <v>10000</v>
      </c>
      <c r="D2680" s="905"/>
      <c r="E2680" s="932">
        <v>10000</v>
      </c>
      <c r="F2680" s="841"/>
      <c r="G2680" s="841"/>
      <c r="H2680" s="840">
        <f t="shared" si="82"/>
        <v>0</v>
      </c>
      <c r="I2680" s="840">
        <f t="shared" si="83"/>
        <v>20000</v>
      </c>
    </row>
    <row r="2681" spans="1:9" s="302" customFormat="1" ht="56.25">
      <c r="A2681" s="1079"/>
      <c r="B2681" s="475" t="s">
        <v>1417</v>
      </c>
      <c r="C2681" s="905">
        <v>20000</v>
      </c>
      <c r="D2681" s="905">
        <v>12000</v>
      </c>
      <c r="E2681" s="932">
        <v>8000</v>
      </c>
      <c r="F2681" s="841"/>
      <c r="G2681" s="841"/>
      <c r="H2681" s="840">
        <f t="shared" si="82"/>
        <v>0</v>
      </c>
      <c r="I2681" s="840">
        <f t="shared" si="83"/>
        <v>40000</v>
      </c>
    </row>
    <row r="2682" spans="1:9" s="302" customFormat="1" ht="56.25">
      <c r="A2682" s="1079"/>
      <c r="B2682" s="475" t="s">
        <v>1418</v>
      </c>
      <c r="C2682" s="905">
        <v>6000</v>
      </c>
      <c r="D2682" s="905">
        <v>6000</v>
      </c>
      <c r="E2682" s="932"/>
      <c r="F2682" s="841"/>
      <c r="G2682" s="841"/>
      <c r="H2682" s="840">
        <f t="shared" si="82"/>
        <v>0</v>
      </c>
      <c r="I2682" s="840">
        <f t="shared" si="83"/>
        <v>12000</v>
      </c>
    </row>
    <row r="2683" spans="1:9" s="302" customFormat="1" ht="56.25">
      <c r="A2683" s="1079"/>
      <c r="B2683" s="475" t="s">
        <v>1419</v>
      </c>
      <c r="C2683" s="905">
        <v>13000</v>
      </c>
      <c r="D2683" s="905">
        <v>13000</v>
      </c>
      <c r="E2683" s="932"/>
      <c r="F2683" s="841"/>
      <c r="G2683" s="841"/>
      <c r="H2683" s="840">
        <f t="shared" si="82"/>
        <v>0</v>
      </c>
      <c r="I2683" s="840">
        <f t="shared" si="83"/>
        <v>26000</v>
      </c>
    </row>
    <row r="2684" spans="1:9" s="302" customFormat="1" ht="37.5">
      <c r="A2684" s="1079"/>
      <c r="B2684" s="475" t="s">
        <v>1420</v>
      </c>
      <c r="C2684" s="905">
        <v>25000</v>
      </c>
      <c r="D2684" s="905">
        <v>25000</v>
      </c>
      <c r="E2684" s="932"/>
      <c r="F2684" s="841"/>
      <c r="G2684" s="841"/>
      <c r="H2684" s="840">
        <f t="shared" si="82"/>
        <v>0</v>
      </c>
      <c r="I2684" s="840">
        <f t="shared" si="83"/>
        <v>50000</v>
      </c>
    </row>
    <row r="2685" spans="1:9" s="302" customFormat="1" ht="75">
      <c r="A2685" s="1079"/>
      <c r="B2685" s="475" t="s">
        <v>1421</v>
      </c>
      <c r="C2685" s="905">
        <v>10000</v>
      </c>
      <c r="D2685" s="905">
        <v>10000</v>
      </c>
      <c r="E2685" s="932"/>
      <c r="F2685" s="841"/>
      <c r="G2685" s="841"/>
      <c r="H2685" s="840">
        <f t="shared" si="82"/>
        <v>0</v>
      </c>
      <c r="I2685" s="840">
        <f t="shared" si="83"/>
        <v>20000</v>
      </c>
    </row>
    <row r="2686" spans="1:9" s="302" customFormat="1" ht="37.5">
      <c r="A2686" s="1079"/>
      <c r="B2686" s="475" t="s">
        <v>1422</v>
      </c>
      <c r="C2686" s="905">
        <v>27000</v>
      </c>
      <c r="D2686" s="905"/>
      <c r="E2686" s="932">
        <v>27000</v>
      </c>
      <c r="F2686" s="841"/>
      <c r="G2686" s="841"/>
      <c r="H2686" s="840">
        <f t="shared" si="82"/>
        <v>0</v>
      </c>
      <c r="I2686" s="840">
        <f t="shared" si="83"/>
        <v>54000</v>
      </c>
    </row>
    <row r="2687" spans="1:9" s="302" customFormat="1" ht="75">
      <c r="A2687" s="1079"/>
      <c r="B2687" s="475" t="s">
        <v>1423</v>
      </c>
      <c r="C2687" s="905">
        <v>5000</v>
      </c>
      <c r="D2687" s="905">
        <v>5000</v>
      </c>
      <c r="E2687" s="932"/>
      <c r="F2687" s="841"/>
      <c r="G2687" s="841"/>
      <c r="H2687" s="840">
        <f t="shared" si="82"/>
        <v>0</v>
      </c>
      <c r="I2687" s="840">
        <f t="shared" si="83"/>
        <v>10000</v>
      </c>
    </row>
    <row r="2688" spans="1:9" s="302" customFormat="1" ht="75">
      <c r="A2688" s="1079"/>
      <c r="B2688" s="475" t="s">
        <v>1424</v>
      </c>
      <c r="C2688" s="530">
        <v>20000</v>
      </c>
      <c r="D2688" s="530"/>
      <c r="E2688" s="905">
        <v>20000</v>
      </c>
      <c r="F2688" s="841"/>
      <c r="G2688" s="841"/>
      <c r="H2688" s="840">
        <f t="shared" si="82"/>
        <v>0</v>
      </c>
      <c r="I2688" s="840">
        <f t="shared" si="83"/>
        <v>40000</v>
      </c>
    </row>
    <row r="2689" spans="1:9" s="302" customFormat="1" ht="131.25">
      <c r="A2689" s="1079"/>
      <c r="B2689" s="475" t="s">
        <v>1425</v>
      </c>
      <c r="C2689" s="530">
        <v>19400</v>
      </c>
      <c r="D2689" s="530"/>
      <c r="E2689" s="530">
        <v>19400</v>
      </c>
      <c r="F2689" s="841"/>
      <c r="G2689" s="841"/>
      <c r="H2689" s="840">
        <f t="shared" si="82"/>
        <v>0</v>
      </c>
      <c r="I2689" s="840">
        <f t="shared" si="83"/>
        <v>38800</v>
      </c>
    </row>
    <row r="2690" spans="1:9" s="302" customFormat="1" ht="56.25">
      <c r="A2690" s="1079"/>
      <c r="B2690" s="475" t="s">
        <v>1426</v>
      </c>
      <c r="C2690" s="530">
        <v>7132</v>
      </c>
      <c r="D2690" s="530">
        <v>7132</v>
      </c>
      <c r="E2690" s="530">
        <f>7132-7132</f>
        <v>0</v>
      </c>
      <c r="F2690" s="841"/>
      <c r="G2690" s="841"/>
      <c r="H2690" s="840">
        <f t="shared" si="82"/>
        <v>0</v>
      </c>
      <c r="I2690" s="840">
        <f t="shared" si="83"/>
        <v>14264</v>
      </c>
    </row>
    <row r="2691" spans="1:9" s="302" customFormat="1" ht="37.5">
      <c r="A2691" s="1079"/>
      <c r="B2691" s="475" t="s">
        <v>1427</v>
      </c>
      <c r="C2691" s="530">
        <v>36000</v>
      </c>
      <c r="D2691" s="530"/>
      <c r="E2691" s="530">
        <v>36000</v>
      </c>
      <c r="F2691" s="841"/>
      <c r="G2691" s="841"/>
      <c r="H2691" s="840">
        <f t="shared" si="82"/>
        <v>0</v>
      </c>
      <c r="I2691" s="840">
        <f t="shared" si="83"/>
        <v>72000</v>
      </c>
    </row>
    <row r="2692" spans="1:9" s="302" customFormat="1" ht="56.25">
      <c r="A2692" s="1079"/>
      <c r="B2692" s="475" t="s">
        <v>1428</v>
      </c>
      <c r="C2692" s="530">
        <v>16500</v>
      </c>
      <c r="D2692" s="530">
        <v>16500</v>
      </c>
      <c r="E2692" s="905"/>
      <c r="F2692" s="841"/>
      <c r="G2692" s="841"/>
      <c r="H2692" s="840">
        <f t="shared" si="82"/>
        <v>0</v>
      </c>
      <c r="I2692" s="840">
        <f t="shared" si="83"/>
        <v>33000</v>
      </c>
    </row>
    <row r="2693" spans="1:9" s="302" customFormat="1" ht="37.5">
      <c r="A2693" s="1079"/>
      <c r="B2693" s="475" t="s">
        <v>1429</v>
      </c>
      <c r="C2693" s="530">
        <v>38000</v>
      </c>
      <c r="D2693" s="530"/>
      <c r="E2693" s="530">
        <v>38000</v>
      </c>
      <c r="F2693" s="841"/>
      <c r="G2693" s="841"/>
      <c r="H2693" s="840">
        <f t="shared" si="82"/>
        <v>0</v>
      </c>
      <c r="I2693" s="840">
        <f t="shared" si="83"/>
        <v>76000</v>
      </c>
    </row>
    <row r="2694" spans="1:9" s="302" customFormat="1" ht="56.25">
      <c r="A2694" s="1079"/>
      <c r="B2694" s="475" t="s">
        <v>1430</v>
      </c>
      <c r="C2694" s="530">
        <v>8000</v>
      </c>
      <c r="D2694" s="530"/>
      <c r="E2694" s="530">
        <v>8000</v>
      </c>
      <c r="F2694" s="841"/>
      <c r="G2694" s="841"/>
      <c r="H2694" s="840">
        <f t="shared" si="82"/>
        <v>0</v>
      </c>
      <c r="I2694" s="840">
        <f t="shared" si="83"/>
        <v>16000</v>
      </c>
    </row>
    <row r="2695" spans="1:9" s="302" customFormat="1" ht="37.5">
      <c r="A2695" s="1079"/>
      <c r="B2695" s="475" t="s">
        <v>1431</v>
      </c>
      <c r="C2695" s="530">
        <v>8000</v>
      </c>
      <c r="D2695" s="530"/>
      <c r="E2695" s="905">
        <v>8000</v>
      </c>
      <c r="F2695" s="841"/>
      <c r="G2695" s="841"/>
      <c r="H2695" s="840">
        <f t="shared" si="82"/>
        <v>0</v>
      </c>
      <c r="I2695" s="840">
        <f t="shared" si="83"/>
        <v>16000</v>
      </c>
    </row>
    <row r="2696" spans="1:9" s="302" customFormat="1" ht="56.25">
      <c r="A2696" s="1079"/>
      <c r="B2696" s="475" t="s">
        <v>1432</v>
      </c>
      <c r="C2696" s="530">
        <v>7000</v>
      </c>
      <c r="D2696" s="530">
        <v>7000</v>
      </c>
      <c r="E2696" s="905"/>
      <c r="F2696" s="841"/>
      <c r="G2696" s="841"/>
      <c r="H2696" s="840">
        <f t="shared" si="82"/>
        <v>0</v>
      </c>
      <c r="I2696" s="840">
        <f t="shared" si="83"/>
        <v>14000</v>
      </c>
    </row>
    <row r="2697" spans="1:9" s="302" customFormat="1" ht="56.25">
      <c r="A2697" s="1079"/>
      <c r="B2697" s="475" t="s">
        <v>1433</v>
      </c>
      <c r="C2697" s="530">
        <v>8000</v>
      </c>
      <c r="D2697" s="530"/>
      <c r="E2697" s="905">
        <v>8000</v>
      </c>
      <c r="F2697" s="841"/>
      <c r="G2697" s="841"/>
      <c r="H2697" s="840">
        <f t="shared" ref="H2697:H2760" si="84">E2697+D2697-C2697</f>
        <v>0</v>
      </c>
      <c r="I2697" s="840">
        <f t="shared" ref="I2697:I2760" si="85">SUM(C2697:E2697)</f>
        <v>16000</v>
      </c>
    </row>
    <row r="2698" spans="1:9" s="302" customFormat="1" ht="56.25">
      <c r="A2698" s="1079"/>
      <c r="B2698" s="475" t="s">
        <v>1434</v>
      </c>
      <c r="C2698" s="530">
        <v>6000</v>
      </c>
      <c r="D2698" s="530">
        <v>6000</v>
      </c>
      <c r="E2698" s="905"/>
      <c r="F2698" s="841"/>
      <c r="G2698" s="841"/>
      <c r="H2698" s="840">
        <f t="shared" si="84"/>
        <v>0</v>
      </c>
      <c r="I2698" s="840">
        <f t="shared" si="85"/>
        <v>12000</v>
      </c>
    </row>
    <row r="2699" spans="1:9" s="302" customFormat="1" ht="56.25">
      <c r="A2699" s="1079"/>
      <c r="B2699" s="475" t="s">
        <v>1435</v>
      </c>
      <c r="C2699" s="530">
        <v>15000</v>
      </c>
      <c r="D2699" s="530">
        <v>15000</v>
      </c>
      <c r="E2699" s="905"/>
      <c r="F2699" s="871"/>
      <c r="G2699" s="841"/>
      <c r="H2699" s="840">
        <f t="shared" si="84"/>
        <v>0</v>
      </c>
      <c r="I2699" s="840">
        <f t="shared" si="85"/>
        <v>30000</v>
      </c>
    </row>
    <row r="2700" spans="1:9" ht="56.25">
      <c r="A2700" s="1079"/>
      <c r="B2700" s="475" t="s">
        <v>1436</v>
      </c>
      <c r="C2700" s="530">
        <v>4980</v>
      </c>
      <c r="D2700" s="530">
        <v>4980</v>
      </c>
      <c r="E2700" s="905"/>
      <c r="F2700" s="871"/>
      <c r="G2700" s="866"/>
      <c r="H2700" s="840">
        <f t="shared" si="84"/>
        <v>0</v>
      </c>
      <c r="I2700" s="840">
        <f t="shared" si="85"/>
        <v>9960</v>
      </c>
    </row>
    <row r="2701" spans="1:9" ht="56.25">
      <c r="A2701" s="1079"/>
      <c r="B2701" s="475" t="s">
        <v>1437</v>
      </c>
      <c r="C2701" s="530">
        <v>2840</v>
      </c>
      <c r="D2701" s="530">
        <v>2840</v>
      </c>
      <c r="E2701" s="905"/>
      <c r="F2701" s="872"/>
      <c r="G2701" s="866"/>
      <c r="H2701" s="840">
        <f t="shared" si="84"/>
        <v>0</v>
      </c>
      <c r="I2701" s="840">
        <f t="shared" si="85"/>
        <v>5680</v>
      </c>
    </row>
    <row r="2702" spans="1:9" ht="56.25">
      <c r="A2702" s="1079"/>
      <c r="B2702" s="475" t="s">
        <v>1438</v>
      </c>
      <c r="C2702" s="530">
        <v>13000</v>
      </c>
      <c r="D2702" s="530">
        <v>5700</v>
      </c>
      <c r="E2702" s="905">
        <v>7300</v>
      </c>
      <c r="F2702" s="872"/>
      <c r="G2702" s="866"/>
      <c r="H2702" s="840">
        <f t="shared" si="84"/>
        <v>0</v>
      </c>
      <c r="I2702" s="840">
        <f t="shared" si="85"/>
        <v>26000</v>
      </c>
    </row>
    <row r="2703" spans="1:9" ht="56.25">
      <c r="A2703" s="1079"/>
      <c r="B2703" s="475" t="s">
        <v>1439</v>
      </c>
      <c r="C2703" s="530">
        <v>7000</v>
      </c>
      <c r="D2703" s="530">
        <v>7000</v>
      </c>
      <c r="E2703" s="905"/>
      <c r="F2703" s="872"/>
      <c r="G2703" s="866"/>
      <c r="H2703" s="840">
        <f t="shared" si="84"/>
        <v>0</v>
      </c>
      <c r="I2703" s="840">
        <f t="shared" si="85"/>
        <v>14000</v>
      </c>
    </row>
    <row r="2704" spans="1:9" ht="37.5">
      <c r="A2704" s="1079"/>
      <c r="B2704" s="475" t="s">
        <v>1440</v>
      </c>
      <c r="C2704" s="530">
        <v>12000</v>
      </c>
      <c r="D2704" s="530">
        <v>12000</v>
      </c>
      <c r="E2704" s="905"/>
      <c r="F2704" s="872"/>
      <c r="G2704" s="866"/>
      <c r="H2704" s="840">
        <f t="shared" si="84"/>
        <v>0</v>
      </c>
      <c r="I2704" s="840">
        <f t="shared" si="85"/>
        <v>24000</v>
      </c>
    </row>
    <row r="2705" spans="1:9" ht="37.5">
      <c r="A2705" s="1079"/>
      <c r="B2705" s="475" t="s">
        <v>1441</v>
      </c>
      <c r="C2705" s="530">
        <v>12000</v>
      </c>
      <c r="D2705" s="530"/>
      <c r="E2705" s="530">
        <v>12000</v>
      </c>
      <c r="F2705" s="872"/>
      <c r="G2705" s="866"/>
      <c r="H2705" s="840">
        <f t="shared" si="84"/>
        <v>0</v>
      </c>
      <c r="I2705" s="840">
        <f t="shared" si="85"/>
        <v>24000</v>
      </c>
    </row>
    <row r="2706" spans="1:9" ht="56.25">
      <c r="A2706" s="1079"/>
      <c r="B2706" s="475" t="s">
        <v>1442</v>
      </c>
      <c r="C2706" s="530">
        <v>12233</v>
      </c>
      <c r="D2706" s="530"/>
      <c r="E2706" s="530">
        <v>12233</v>
      </c>
      <c r="F2706" s="872"/>
      <c r="G2706" s="866"/>
      <c r="H2706" s="840">
        <f t="shared" si="84"/>
        <v>0</v>
      </c>
      <c r="I2706" s="840">
        <f t="shared" si="85"/>
        <v>24466</v>
      </c>
    </row>
    <row r="2707" spans="1:9" ht="112.5">
      <c r="A2707" s="1079"/>
      <c r="B2707" s="475" t="s">
        <v>1443</v>
      </c>
      <c r="C2707" s="530">
        <v>20000</v>
      </c>
      <c r="D2707" s="530"/>
      <c r="E2707" s="530">
        <v>20000</v>
      </c>
      <c r="F2707" s="872"/>
      <c r="G2707" s="866"/>
      <c r="H2707" s="840">
        <f t="shared" si="84"/>
        <v>0</v>
      </c>
      <c r="I2707" s="840">
        <f t="shared" si="85"/>
        <v>40000</v>
      </c>
    </row>
    <row r="2708" spans="1:9" ht="93.75">
      <c r="A2708" s="1079"/>
      <c r="B2708" s="475" t="s">
        <v>2300</v>
      </c>
      <c r="C2708" s="530">
        <v>5000</v>
      </c>
      <c r="D2708" s="530">
        <f>5000-5000</f>
        <v>0</v>
      </c>
      <c r="E2708" s="905">
        <v>5000</v>
      </c>
      <c r="F2708" s="872"/>
      <c r="G2708" s="866"/>
      <c r="H2708" s="840">
        <f t="shared" si="84"/>
        <v>0</v>
      </c>
      <c r="I2708" s="840">
        <f t="shared" si="85"/>
        <v>10000</v>
      </c>
    </row>
    <row r="2709" spans="1:9" ht="37.5">
      <c r="A2709" s="1079"/>
      <c r="B2709" s="475" t="s">
        <v>1444</v>
      </c>
      <c r="C2709" s="530">
        <v>8000</v>
      </c>
      <c r="D2709" s="530"/>
      <c r="E2709" s="530">
        <v>8000</v>
      </c>
      <c r="F2709" s="872"/>
      <c r="G2709" s="866"/>
      <c r="H2709" s="840">
        <f t="shared" si="84"/>
        <v>0</v>
      </c>
      <c r="I2709" s="840">
        <f t="shared" si="85"/>
        <v>16000</v>
      </c>
    </row>
    <row r="2710" spans="1:9" ht="56.25">
      <c r="A2710" s="1079"/>
      <c r="B2710" s="475" t="s">
        <v>1445</v>
      </c>
      <c r="C2710" s="530">
        <v>8000</v>
      </c>
      <c r="D2710" s="530"/>
      <c r="E2710" s="530">
        <v>8000</v>
      </c>
      <c r="F2710" s="872"/>
      <c r="G2710" s="866"/>
      <c r="H2710" s="840">
        <f t="shared" si="84"/>
        <v>0</v>
      </c>
      <c r="I2710" s="840">
        <f t="shared" si="85"/>
        <v>16000</v>
      </c>
    </row>
    <row r="2711" spans="1:9" ht="37.5">
      <c r="A2711" s="1079"/>
      <c r="B2711" s="475" t="s">
        <v>1446</v>
      </c>
      <c r="C2711" s="530">
        <v>10000</v>
      </c>
      <c r="D2711" s="530">
        <v>10000</v>
      </c>
      <c r="E2711" s="905"/>
      <c r="F2711" s="872"/>
      <c r="G2711" s="866"/>
      <c r="H2711" s="840">
        <f t="shared" si="84"/>
        <v>0</v>
      </c>
      <c r="I2711" s="840">
        <f t="shared" si="85"/>
        <v>20000</v>
      </c>
    </row>
    <row r="2712" spans="1:9" ht="56.25">
      <c r="A2712" s="1079"/>
      <c r="B2712" s="475" t="s">
        <v>1447</v>
      </c>
      <c r="C2712" s="530">
        <v>7000</v>
      </c>
      <c r="D2712" s="530">
        <v>7000</v>
      </c>
      <c r="E2712" s="905"/>
      <c r="F2712" s="872"/>
      <c r="G2712" s="866"/>
      <c r="H2712" s="840">
        <f t="shared" si="84"/>
        <v>0</v>
      </c>
      <c r="I2712" s="840">
        <f t="shared" si="85"/>
        <v>14000</v>
      </c>
    </row>
    <row r="2713" spans="1:9" ht="37.5">
      <c r="A2713" s="1079"/>
      <c r="B2713" s="475" t="s">
        <v>1448</v>
      </c>
      <c r="C2713" s="530">
        <v>2225</v>
      </c>
      <c r="D2713" s="530">
        <v>2225</v>
      </c>
      <c r="E2713" s="905"/>
      <c r="F2713" s="872"/>
      <c r="G2713" s="866"/>
      <c r="H2713" s="840">
        <f t="shared" si="84"/>
        <v>0</v>
      </c>
      <c r="I2713" s="840">
        <f t="shared" si="85"/>
        <v>4450</v>
      </c>
    </row>
    <row r="2714" spans="1:9" ht="75">
      <c r="A2714" s="1079"/>
      <c r="B2714" s="475" t="s">
        <v>1449</v>
      </c>
      <c r="C2714" s="530">
        <v>3000</v>
      </c>
      <c r="D2714" s="530">
        <v>3000</v>
      </c>
      <c r="E2714" s="905"/>
      <c r="F2714" s="872"/>
      <c r="G2714" s="866"/>
      <c r="H2714" s="840">
        <f t="shared" si="84"/>
        <v>0</v>
      </c>
      <c r="I2714" s="840">
        <f t="shared" si="85"/>
        <v>6000</v>
      </c>
    </row>
    <row r="2715" spans="1:9" ht="56.25">
      <c r="A2715" s="1079"/>
      <c r="B2715" s="475" t="s">
        <v>1450</v>
      </c>
      <c r="C2715" s="530">
        <v>10000</v>
      </c>
      <c r="D2715" s="530">
        <v>10000</v>
      </c>
      <c r="E2715" s="905"/>
      <c r="F2715" s="872"/>
      <c r="G2715" s="866"/>
      <c r="H2715" s="840">
        <f t="shared" si="84"/>
        <v>0</v>
      </c>
      <c r="I2715" s="840">
        <f t="shared" si="85"/>
        <v>20000</v>
      </c>
    </row>
    <row r="2716" spans="1:9" ht="37.5">
      <c r="A2716" s="1079"/>
      <c r="B2716" s="475" t="s">
        <v>1451</v>
      </c>
      <c r="C2716" s="530">
        <v>45000</v>
      </c>
      <c r="D2716" s="530"/>
      <c r="E2716" s="905">
        <v>45000</v>
      </c>
      <c r="F2716" s="872"/>
      <c r="G2716" s="866"/>
      <c r="H2716" s="840">
        <f t="shared" si="84"/>
        <v>0</v>
      </c>
      <c r="I2716" s="840">
        <f t="shared" si="85"/>
        <v>90000</v>
      </c>
    </row>
    <row r="2717" spans="1:9" ht="56.25">
      <c r="A2717" s="1079"/>
      <c r="B2717" s="475" t="s">
        <v>1452</v>
      </c>
      <c r="C2717" s="530">
        <v>10000</v>
      </c>
      <c r="D2717" s="530">
        <v>10000</v>
      </c>
      <c r="E2717" s="905"/>
      <c r="F2717" s="872"/>
      <c r="G2717" s="866"/>
      <c r="H2717" s="840">
        <f t="shared" si="84"/>
        <v>0</v>
      </c>
      <c r="I2717" s="840">
        <f t="shared" si="85"/>
        <v>20000</v>
      </c>
    </row>
    <row r="2718" spans="1:9" ht="75">
      <c r="A2718" s="1079"/>
      <c r="B2718" s="535" t="s">
        <v>1794</v>
      </c>
      <c r="C2718" s="914">
        <v>65000</v>
      </c>
      <c r="D2718" s="914">
        <v>65000</v>
      </c>
      <c r="E2718" s="914"/>
      <c r="F2718" s="872"/>
      <c r="G2718" s="866"/>
      <c r="H2718" s="840">
        <f t="shared" si="84"/>
        <v>0</v>
      </c>
      <c r="I2718" s="840">
        <f t="shared" si="85"/>
        <v>130000</v>
      </c>
    </row>
    <row r="2719" spans="1:9" ht="93.75">
      <c r="A2719" s="1079"/>
      <c r="B2719" s="475" t="s">
        <v>1793</v>
      </c>
      <c r="C2719" s="908">
        <v>30000</v>
      </c>
      <c r="D2719" s="908"/>
      <c r="E2719" s="905">
        <v>30000</v>
      </c>
      <c r="F2719" s="872"/>
      <c r="G2719" s="866"/>
      <c r="H2719" s="840">
        <f t="shared" si="84"/>
        <v>0</v>
      </c>
      <c r="I2719" s="840">
        <f t="shared" si="85"/>
        <v>60000</v>
      </c>
    </row>
    <row r="2720" spans="1:9" ht="37.5">
      <c r="A2720" s="1079"/>
      <c r="B2720" s="475" t="s">
        <v>1914</v>
      </c>
      <c r="C2720" s="911">
        <v>18000</v>
      </c>
      <c r="D2720" s="911">
        <v>18000</v>
      </c>
      <c r="E2720" s="911"/>
      <c r="F2720" s="872"/>
      <c r="G2720" s="866"/>
      <c r="H2720" s="840">
        <f t="shared" si="84"/>
        <v>0</v>
      </c>
      <c r="I2720" s="840">
        <f t="shared" si="85"/>
        <v>36000</v>
      </c>
    </row>
    <row r="2721" spans="1:9" ht="37.5">
      <c r="A2721" s="1079"/>
      <c r="B2721" s="475" t="s">
        <v>1915</v>
      </c>
      <c r="C2721" s="911">
        <v>20350</v>
      </c>
      <c r="D2721" s="911">
        <v>20350</v>
      </c>
      <c r="E2721" s="911"/>
      <c r="F2721" s="872"/>
      <c r="G2721" s="866"/>
      <c r="H2721" s="840">
        <f t="shared" si="84"/>
        <v>0</v>
      </c>
      <c r="I2721" s="840">
        <f t="shared" si="85"/>
        <v>40700</v>
      </c>
    </row>
    <row r="2722" spans="1:9" ht="56.25">
      <c r="A2722" s="1079"/>
      <c r="B2722" s="475" t="s">
        <v>1916</v>
      </c>
      <c r="C2722" s="911">
        <v>20000</v>
      </c>
      <c r="D2722" s="911">
        <v>20000</v>
      </c>
      <c r="E2722" s="911"/>
      <c r="F2722" s="872"/>
      <c r="G2722" s="866"/>
      <c r="H2722" s="840">
        <f t="shared" si="84"/>
        <v>0</v>
      </c>
      <c r="I2722" s="840">
        <f t="shared" si="85"/>
        <v>40000</v>
      </c>
    </row>
    <row r="2723" spans="1:9" ht="37.5">
      <c r="A2723" s="1079"/>
      <c r="B2723" s="475" t="s">
        <v>1917</v>
      </c>
      <c r="C2723" s="911">
        <v>20000</v>
      </c>
      <c r="D2723" s="911">
        <v>20000</v>
      </c>
      <c r="E2723" s="911"/>
      <c r="F2723" s="872"/>
      <c r="G2723" s="866"/>
      <c r="H2723" s="840">
        <f t="shared" si="84"/>
        <v>0</v>
      </c>
      <c r="I2723" s="840">
        <f t="shared" si="85"/>
        <v>40000</v>
      </c>
    </row>
    <row r="2724" spans="1:9" ht="37.5">
      <c r="A2724" s="1079"/>
      <c r="B2724" s="475" t="s">
        <v>1918</v>
      </c>
      <c r="C2724" s="911">
        <v>30000</v>
      </c>
      <c r="D2724" s="911"/>
      <c r="E2724" s="911">
        <v>30000</v>
      </c>
      <c r="F2724" s="872"/>
      <c r="G2724" s="866"/>
      <c r="H2724" s="840">
        <f t="shared" si="84"/>
        <v>0</v>
      </c>
      <c r="I2724" s="840">
        <f t="shared" si="85"/>
        <v>60000</v>
      </c>
    </row>
    <row r="2725" spans="1:9" ht="56.25">
      <c r="A2725" s="1079"/>
      <c r="B2725" s="475" t="s">
        <v>1919</v>
      </c>
      <c r="C2725" s="911">
        <v>20000</v>
      </c>
      <c r="D2725" s="911">
        <v>20000</v>
      </c>
      <c r="E2725" s="911"/>
      <c r="F2725" s="872"/>
      <c r="G2725" s="866"/>
      <c r="H2725" s="840">
        <f t="shared" si="84"/>
        <v>0</v>
      </c>
      <c r="I2725" s="840">
        <f t="shared" si="85"/>
        <v>40000</v>
      </c>
    </row>
    <row r="2726" spans="1:9" ht="56.25">
      <c r="A2726" s="1079"/>
      <c r="B2726" s="475" t="s">
        <v>1920</v>
      </c>
      <c r="C2726" s="911">
        <v>100000</v>
      </c>
      <c r="D2726" s="911">
        <v>100000</v>
      </c>
      <c r="E2726" s="911"/>
      <c r="F2726" s="872"/>
      <c r="G2726" s="866"/>
      <c r="H2726" s="840">
        <f t="shared" si="84"/>
        <v>0</v>
      </c>
      <c r="I2726" s="840">
        <f t="shared" si="85"/>
        <v>200000</v>
      </c>
    </row>
    <row r="2727" spans="1:9" ht="37.5">
      <c r="A2727" s="1079"/>
      <c r="B2727" s="475" t="s">
        <v>2163</v>
      </c>
      <c r="C2727" s="908">
        <v>10000</v>
      </c>
      <c r="D2727" s="908">
        <v>10000</v>
      </c>
      <c r="E2727" s="905"/>
      <c r="F2727" s="872"/>
      <c r="G2727" s="866"/>
      <c r="H2727" s="840">
        <f t="shared" si="84"/>
        <v>0</v>
      </c>
      <c r="I2727" s="840">
        <f t="shared" si="85"/>
        <v>20000</v>
      </c>
    </row>
    <row r="2728" spans="1:9" ht="56.25">
      <c r="A2728" s="1079"/>
      <c r="B2728" s="475" t="s">
        <v>2164</v>
      </c>
      <c r="C2728" s="908">
        <v>19500</v>
      </c>
      <c r="D2728" s="908">
        <v>9800</v>
      </c>
      <c r="E2728" s="905">
        <v>9700</v>
      </c>
      <c r="F2728" s="872"/>
      <c r="G2728" s="866"/>
      <c r="H2728" s="840">
        <f t="shared" si="84"/>
        <v>0</v>
      </c>
      <c r="I2728" s="840">
        <f t="shared" si="85"/>
        <v>39000</v>
      </c>
    </row>
    <row r="2729" spans="1:9" ht="56.25">
      <c r="A2729" s="1079"/>
      <c r="B2729" s="475" t="s">
        <v>2165</v>
      </c>
      <c r="C2729" s="908">
        <v>5500</v>
      </c>
      <c r="D2729" s="908">
        <v>5500</v>
      </c>
      <c r="E2729" s="905"/>
      <c r="F2729" s="872"/>
      <c r="G2729" s="866"/>
      <c r="H2729" s="840">
        <f t="shared" si="84"/>
        <v>0</v>
      </c>
      <c r="I2729" s="840">
        <f t="shared" si="85"/>
        <v>11000</v>
      </c>
    </row>
    <row r="2730" spans="1:9" ht="37.5">
      <c r="A2730" s="1079"/>
      <c r="B2730" s="475" t="s">
        <v>2166</v>
      </c>
      <c r="C2730" s="908">
        <v>5485</v>
      </c>
      <c r="D2730" s="908">
        <v>5485</v>
      </c>
      <c r="E2730" s="905"/>
      <c r="F2730" s="872"/>
      <c r="G2730" s="866"/>
      <c r="H2730" s="840">
        <f t="shared" si="84"/>
        <v>0</v>
      </c>
      <c r="I2730" s="840">
        <f t="shared" si="85"/>
        <v>10970</v>
      </c>
    </row>
    <row r="2731" spans="1:9" ht="93.75">
      <c r="A2731" s="1079"/>
      <c r="B2731" s="475" t="s">
        <v>2167</v>
      </c>
      <c r="C2731" s="908">
        <v>16000</v>
      </c>
      <c r="D2731" s="908">
        <v>4000</v>
      </c>
      <c r="E2731" s="905">
        <v>12000</v>
      </c>
      <c r="F2731" s="872"/>
      <c r="G2731" s="866"/>
      <c r="H2731" s="840">
        <f t="shared" si="84"/>
        <v>0</v>
      </c>
      <c r="I2731" s="840">
        <f t="shared" si="85"/>
        <v>32000</v>
      </c>
    </row>
    <row r="2732" spans="1:9" ht="37.5">
      <c r="A2732" s="1079"/>
      <c r="B2732" s="475" t="s">
        <v>2168</v>
      </c>
      <c r="C2732" s="908">
        <v>16800</v>
      </c>
      <c r="D2732" s="908">
        <v>16800</v>
      </c>
      <c r="E2732" s="905"/>
      <c r="F2732" s="872"/>
      <c r="G2732" s="866"/>
      <c r="H2732" s="840">
        <f t="shared" si="84"/>
        <v>0</v>
      </c>
      <c r="I2732" s="840">
        <f t="shared" si="85"/>
        <v>33600</v>
      </c>
    </row>
    <row r="2733" spans="1:9" ht="56.25">
      <c r="A2733" s="1079"/>
      <c r="B2733" s="475" t="s">
        <v>2169</v>
      </c>
      <c r="C2733" s="914">
        <v>300000</v>
      </c>
      <c r="D2733" s="905"/>
      <c r="E2733" s="905">
        <v>300000</v>
      </c>
      <c r="F2733" s="872"/>
      <c r="G2733" s="866"/>
      <c r="H2733" s="840">
        <f t="shared" si="84"/>
        <v>0</v>
      </c>
      <c r="I2733" s="840">
        <f t="shared" si="85"/>
        <v>600000</v>
      </c>
    </row>
    <row r="2734" spans="1:9" ht="75">
      <c r="A2734" s="1079"/>
      <c r="B2734" s="535" t="s">
        <v>2170</v>
      </c>
      <c r="C2734" s="908">
        <v>50000</v>
      </c>
      <c r="D2734" s="908">
        <v>50000</v>
      </c>
      <c r="E2734" s="905"/>
      <c r="F2734" s="872"/>
      <c r="G2734" s="866"/>
      <c r="H2734" s="840">
        <f t="shared" si="84"/>
        <v>0</v>
      </c>
      <c r="I2734" s="840">
        <f t="shared" si="85"/>
        <v>100000</v>
      </c>
    </row>
    <row r="2735" spans="1:9" ht="37.5">
      <c r="A2735" s="1079"/>
      <c r="B2735" s="475" t="s">
        <v>2465</v>
      </c>
      <c r="C2735" s="908">
        <v>8000</v>
      </c>
      <c r="D2735" s="908"/>
      <c r="E2735" s="905">
        <v>8000</v>
      </c>
      <c r="F2735" s="872"/>
      <c r="G2735" s="866"/>
      <c r="H2735" s="840">
        <f t="shared" si="84"/>
        <v>0</v>
      </c>
      <c r="I2735" s="840">
        <f t="shared" si="85"/>
        <v>16000</v>
      </c>
    </row>
    <row r="2736" spans="1:9" ht="56.25">
      <c r="A2736" s="1079"/>
      <c r="B2736" s="475" t="s">
        <v>2466</v>
      </c>
      <c r="C2736" s="908">
        <v>2905</v>
      </c>
      <c r="D2736" s="908">
        <v>2905</v>
      </c>
      <c r="E2736" s="905"/>
      <c r="F2736" s="872"/>
      <c r="G2736" s="866"/>
      <c r="H2736" s="840">
        <f t="shared" si="84"/>
        <v>0</v>
      </c>
      <c r="I2736" s="840">
        <f t="shared" si="85"/>
        <v>5810</v>
      </c>
    </row>
    <row r="2737" spans="1:9" ht="56.25">
      <c r="A2737" s="1079"/>
      <c r="B2737" s="475" t="s">
        <v>2467</v>
      </c>
      <c r="C2737" s="908">
        <v>5000</v>
      </c>
      <c r="D2737" s="908">
        <v>5000</v>
      </c>
      <c r="E2737" s="905"/>
      <c r="F2737" s="872"/>
      <c r="G2737" s="866"/>
      <c r="H2737" s="840">
        <f t="shared" si="84"/>
        <v>0</v>
      </c>
      <c r="I2737" s="840">
        <f t="shared" si="85"/>
        <v>10000</v>
      </c>
    </row>
    <row r="2738" spans="1:9" ht="37.5">
      <c r="A2738" s="1079"/>
      <c r="B2738" s="475" t="s">
        <v>2468</v>
      </c>
      <c r="C2738" s="908">
        <v>3000</v>
      </c>
      <c r="D2738" s="908">
        <v>3000</v>
      </c>
      <c r="E2738" s="905"/>
      <c r="F2738" s="872"/>
      <c r="G2738" s="866"/>
      <c r="H2738" s="840">
        <f t="shared" si="84"/>
        <v>0</v>
      </c>
      <c r="I2738" s="840">
        <f t="shared" si="85"/>
        <v>6000</v>
      </c>
    </row>
    <row r="2739" spans="1:9" ht="56.25">
      <c r="A2739" s="1079"/>
      <c r="B2739" s="475" t="s">
        <v>2469</v>
      </c>
      <c r="C2739" s="908">
        <v>1500</v>
      </c>
      <c r="D2739" s="908">
        <v>1500</v>
      </c>
      <c r="E2739" s="905"/>
      <c r="F2739" s="872"/>
      <c r="G2739" s="866"/>
      <c r="H2739" s="840">
        <f t="shared" si="84"/>
        <v>0</v>
      </c>
      <c r="I2739" s="840">
        <f t="shared" si="85"/>
        <v>3000</v>
      </c>
    </row>
    <row r="2740" spans="1:9" ht="37.5">
      <c r="A2740" s="1079"/>
      <c r="B2740" s="475" t="s">
        <v>2470</v>
      </c>
      <c r="C2740" s="908">
        <v>7000</v>
      </c>
      <c r="D2740" s="908"/>
      <c r="E2740" s="905">
        <v>7000</v>
      </c>
      <c r="F2740" s="872"/>
      <c r="G2740" s="866"/>
      <c r="H2740" s="840">
        <f t="shared" si="84"/>
        <v>0</v>
      </c>
      <c r="I2740" s="840">
        <f t="shared" si="85"/>
        <v>14000</v>
      </c>
    </row>
    <row r="2741" spans="1:9" ht="56.25">
      <c r="A2741" s="1079"/>
      <c r="B2741" s="475" t="s">
        <v>2471</v>
      </c>
      <c r="C2741" s="908">
        <v>12000</v>
      </c>
      <c r="D2741" s="908">
        <v>2000</v>
      </c>
      <c r="E2741" s="905">
        <v>10000</v>
      </c>
      <c r="F2741" s="872"/>
      <c r="G2741" s="866"/>
      <c r="H2741" s="840">
        <f t="shared" si="84"/>
        <v>0</v>
      </c>
      <c r="I2741" s="840">
        <f t="shared" si="85"/>
        <v>24000</v>
      </c>
    </row>
    <row r="2742" spans="1:9" ht="56.25">
      <c r="A2742" s="1079"/>
      <c r="B2742" s="475" t="s">
        <v>2472</v>
      </c>
      <c r="C2742" s="908">
        <v>12000</v>
      </c>
      <c r="D2742" s="908"/>
      <c r="E2742" s="905">
        <v>12000</v>
      </c>
      <c r="F2742" s="872"/>
      <c r="G2742" s="866"/>
      <c r="H2742" s="840">
        <f t="shared" si="84"/>
        <v>0</v>
      </c>
      <c r="I2742" s="840">
        <f t="shared" si="85"/>
        <v>24000</v>
      </c>
    </row>
    <row r="2743" spans="1:9" ht="75">
      <c r="A2743" s="1079"/>
      <c r="B2743" s="475" t="s">
        <v>2473</v>
      </c>
      <c r="C2743" s="908">
        <v>11500</v>
      </c>
      <c r="D2743" s="908">
        <v>11500</v>
      </c>
      <c r="E2743" s="905"/>
      <c r="F2743" s="872"/>
      <c r="G2743" s="866"/>
      <c r="H2743" s="840">
        <f t="shared" si="84"/>
        <v>0</v>
      </c>
      <c r="I2743" s="840">
        <f t="shared" si="85"/>
        <v>23000</v>
      </c>
    </row>
    <row r="2744" spans="1:9" ht="37.5">
      <c r="A2744" s="1079"/>
      <c r="B2744" s="475" t="s">
        <v>2474</v>
      </c>
      <c r="C2744" s="908">
        <v>6000</v>
      </c>
      <c r="D2744" s="908"/>
      <c r="E2744" s="905">
        <v>6000</v>
      </c>
      <c r="F2744" s="872"/>
      <c r="G2744" s="866"/>
      <c r="H2744" s="840">
        <f t="shared" si="84"/>
        <v>0</v>
      </c>
      <c r="I2744" s="840">
        <f t="shared" si="85"/>
        <v>12000</v>
      </c>
    </row>
    <row r="2745" spans="1:9" ht="37.5">
      <c r="A2745" s="1079"/>
      <c r="B2745" s="475" t="s">
        <v>2475</v>
      </c>
      <c r="C2745" s="908">
        <v>8000</v>
      </c>
      <c r="D2745" s="908"/>
      <c r="E2745" s="905">
        <v>8000</v>
      </c>
      <c r="F2745" s="872"/>
      <c r="G2745" s="866"/>
      <c r="H2745" s="840">
        <f t="shared" si="84"/>
        <v>0</v>
      </c>
      <c r="I2745" s="840">
        <f t="shared" si="85"/>
        <v>16000</v>
      </c>
    </row>
    <row r="2746" spans="1:9" ht="56.25">
      <c r="A2746" s="1079"/>
      <c r="B2746" s="475" t="s">
        <v>2476</v>
      </c>
      <c r="C2746" s="908">
        <v>7000</v>
      </c>
      <c r="D2746" s="908">
        <v>7000</v>
      </c>
      <c r="E2746" s="905"/>
      <c r="F2746" s="872"/>
      <c r="G2746" s="866"/>
      <c r="H2746" s="840">
        <f t="shared" si="84"/>
        <v>0</v>
      </c>
      <c r="I2746" s="840">
        <f t="shared" si="85"/>
        <v>14000</v>
      </c>
    </row>
    <row r="2747" spans="1:9" ht="56.25">
      <c r="A2747" s="1079"/>
      <c r="B2747" s="475" t="s">
        <v>2477</v>
      </c>
      <c r="C2747" s="908">
        <v>5000</v>
      </c>
      <c r="D2747" s="908">
        <v>5000</v>
      </c>
      <c r="E2747" s="905"/>
      <c r="F2747" s="872"/>
      <c r="G2747" s="866"/>
      <c r="H2747" s="840">
        <f t="shared" si="84"/>
        <v>0</v>
      </c>
      <c r="I2747" s="840">
        <f t="shared" si="85"/>
        <v>10000</v>
      </c>
    </row>
    <row r="2748" spans="1:9" ht="37.5">
      <c r="A2748" s="1079"/>
      <c r="B2748" s="475" t="s">
        <v>2478</v>
      </c>
      <c r="C2748" s="908">
        <v>7000</v>
      </c>
      <c r="D2748" s="908">
        <v>7000</v>
      </c>
      <c r="E2748" s="905"/>
      <c r="F2748" s="872"/>
      <c r="G2748" s="866"/>
      <c r="H2748" s="840">
        <f t="shared" si="84"/>
        <v>0</v>
      </c>
      <c r="I2748" s="840">
        <f t="shared" si="85"/>
        <v>14000</v>
      </c>
    </row>
    <row r="2749" spans="1:9" ht="75">
      <c r="A2749" s="1079"/>
      <c r="B2749" s="475" t="s">
        <v>2479</v>
      </c>
      <c r="C2749" s="908">
        <v>12900</v>
      </c>
      <c r="D2749" s="908"/>
      <c r="E2749" s="905">
        <v>12900</v>
      </c>
      <c r="F2749" s="872"/>
      <c r="G2749" s="866"/>
      <c r="H2749" s="840">
        <f t="shared" si="84"/>
        <v>0</v>
      </c>
      <c r="I2749" s="840">
        <f t="shared" si="85"/>
        <v>25800</v>
      </c>
    </row>
    <row r="2750" spans="1:9" ht="56.25">
      <c r="A2750" s="1079"/>
      <c r="B2750" s="475" t="s">
        <v>2480</v>
      </c>
      <c r="C2750" s="908">
        <v>7000</v>
      </c>
      <c r="D2750" s="908">
        <v>7000</v>
      </c>
      <c r="E2750" s="905"/>
      <c r="F2750" s="872"/>
      <c r="G2750" s="866"/>
      <c r="H2750" s="840">
        <f t="shared" si="84"/>
        <v>0</v>
      </c>
      <c r="I2750" s="840">
        <f t="shared" si="85"/>
        <v>14000</v>
      </c>
    </row>
    <row r="2751" spans="1:9" ht="37.5">
      <c r="A2751" s="1079"/>
      <c r="B2751" s="475" t="s">
        <v>2481</v>
      </c>
      <c r="C2751" s="908">
        <v>7000</v>
      </c>
      <c r="D2751" s="908"/>
      <c r="E2751" s="905">
        <v>7000</v>
      </c>
      <c r="F2751" s="872"/>
      <c r="G2751" s="866"/>
      <c r="H2751" s="840">
        <f t="shared" si="84"/>
        <v>0</v>
      </c>
      <c r="I2751" s="840">
        <f t="shared" si="85"/>
        <v>14000</v>
      </c>
    </row>
    <row r="2752" spans="1:9" ht="56.25">
      <c r="A2752" s="1079"/>
      <c r="B2752" s="475" t="s">
        <v>2482</v>
      </c>
      <c r="C2752" s="908">
        <v>13500</v>
      </c>
      <c r="D2752" s="908">
        <v>13500</v>
      </c>
      <c r="E2752" s="905"/>
      <c r="F2752" s="872"/>
      <c r="G2752" s="866"/>
      <c r="H2752" s="840">
        <f t="shared" si="84"/>
        <v>0</v>
      </c>
      <c r="I2752" s="840">
        <f t="shared" si="85"/>
        <v>27000</v>
      </c>
    </row>
    <row r="2753" spans="1:9" ht="37.5">
      <c r="A2753" s="1079"/>
      <c r="B2753" s="475" t="s">
        <v>2483</v>
      </c>
      <c r="C2753" s="908">
        <v>10000</v>
      </c>
      <c r="D2753" s="908">
        <v>10000</v>
      </c>
      <c r="E2753" s="905"/>
      <c r="F2753" s="872"/>
      <c r="G2753" s="866"/>
      <c r="H2753" s="840">
        <f t="shared" si="84"/>
        <v>0</v>
      </c>
      <c r="I2753" s="840">
        <f t="shared" si="85"/>
        <v>20000</v>
      </c>
    </row>
    <row r="2754" spans="1:9" ht="56.25">
      <c r="A2754" s="1079"/>
      <c r="B2754" s="475" t="s">
        <v>2484</v>
      </c>
      <c r="C2754" s="908">
        <v>23000</v>
      </c>
      <c r="D2754" s="908">
        <v>23000</v>
      </c>
      <c r="E2754" s="905"/>
      <c r="F2754" s="872"/>
      <c r="G2754" s="866"/>
      <c r="H2754" s="840">
        <f t="shared" si="84"/>
        <v>0</v>
      </c>
      <c r="I2754" s="840">
        <f t="shared" si="85"/>
        <v>46000</v>
      </c>
    </row>
    <row r="2755" spans="1:9" ht="75">
      <c r="A2755" s="1079"/>
      <c r="B2755" s="475" t="s">
        <v>2485</v>
      </c>
      <c r="C2755" s="908">
        <v>10000</v>
      </c>
      <c r="D2755" s="908">
        <v>10000</v>
      </c>
      <c r="E2755" s="905"/>
      <c r="F2755" s="872"/>
      <c r="G2755" s="866"/>
      <c r="H2755" s="840">
        <f t="shared" si="84"/>
        <v>0</v>
      </c>
      <c r="I2755" s="840">
        <f t="shared" si="85"/>
        <v>20000</v>
      </c>
    </row>
    <row r="2756" spans="1:9" ht="56.25">
      <c r="A2756" s="1079"/>
      <c r="B2756" s="475" t="s">
        <v>2486</v>
      </c>
      <c r="C2756" s="908">
        <v>6000</v>
      </c>
      <c r="D2756" s="908">
        <v>6000</v>
      </c>
      <c r="E2756" s="905"/>
      <c r="F2756" s="872"/>
      <c r="G2756" s="866"/>
      <c r="H2756" s="840">
        <f t="shared" si="84"/>
        <v>0</v>
      </c>
      <c r="I2756" s="840">
        <f t="shared" si="85"/>
        <v>12000</v>
      </c>
    </row>
    <row r="2757" spans="1:9" ht="56.25">
      <c r="A2757" s="1079"/>
      <c r="B2757" s="475" t="s">
        <v>2487</v>
      </c>
      <c r="C2757" s="908">
        <v>2300</v>
      </c>
      <c r="D2757" s="908">
        <v>2300</v>
      </c>
      <c r="E2757" s="905"/>
      <c r="F2757" s="872"/>
      <c r="G2757" s="866"/>
      <c r="H2757" s="840">
        <f t="shared" si="84"/>
        <v>0</v>
      </c>
      <c r="I2757" s="840">
        <f t="shared" si="85"/>
        <v>4600</v>
      </c>
    </row>
    <row r="2758" spans="1:9" ht="37.5">
      <c r="A2758" s="1079"/>
      <c r="B2758" s="475" t="s">
        <v>2488</v>
      </c>
      <c r="C2758" s="908">
        <v>10000</v>
      </c>
      <c r="D2758" s="908"/>
      <c r="E2758" s="905">
        <v>10000</v>
      </c>
      <c r="F2758" s="872"/>
      <c r="G2758" s="866"/>
      <c r="H2758" s="840">
        <f t="shared" si="84"/>
        <v>0</v>
      </c>
      <c r="I2758" s="840">
        <f t="shared" si="85"/>
        <v>20000</v>
      </c>
    </row>
    <row r="2759" spans="1:9">
      <c r="A2759" s="1079"/>
      <c r="B2759" s="475" t="s">
        <v>2603</v>
      </c>
      <c r="C2759" s="905">
        <v>10000</v>
      </c>
      <c r="D2759" s="905">
        <v>10000</v>
      </c>
      <c r="E2759" s="905"/>
      <c r="F2759" s="872"/>
      <c r="G2759" s="866"/>
      <c r="H2759" s="840">
        <f t="shared" si="84"/>
        <v>0</v>
      </c>
      <c r="I2759" s="840">
        <f t="shared" si="85"/>
        <v>20000</v>
      </c>
    </row>
    <row r="2760" spans="1:9" ht="37.5">
      <c r="A2760" s="1079"/>
      <c r="B2760" s="475" t="s">
        <v>2604</v>
      </c>
      <c r="C2760" s="905">
        <v>30000</v>
      </c>
      <c r="D2760" s="905"/>
      <c r="E2760" s="905">
        <v>30000</v>
      </c>
      <c r="F2760" s="872"/>
      <c r="G2760" s="866"/>
      <c r="H2760" s="840">
        <f t="shared" si="84"/>
        <v>0</v>
      </c>
      <c r="I2760" s="840">
        <f t="shared" si="85"/>
        <v>60000</v>
      </c>
    </row>
    <row r="2761" spans="1:9" ht="56.25">
      <c r="A2761" s="1079"/>
      <c r="B2761" s="475" t="s">
        <v>2605</v>
      </c>
      <c r="C2761" s="911">
        <v>25000</v>
      </c>
      <c r="D2761" s="905"/>
      <c r="E2761" s="905">
        <v>25000</v>
      </c>
      <c r="F2761" s="872"/>
      <c r="G2761" s="866"/>
      <c r="H2761" s="840">
        <f t="shared" ref="H2761:H2824" si="86">E2761+D2761-C2761</f>
        <v>0</v>
      </c>
      <c r="I2761" s="840">
        <f t="shared" ref="I2761:I2824" si="87">SUM(C2761:E2761)</f>
        <v>50000</v>
      </c>
    </row>
    <row r="2762" spans="1:9" ht="56.25">
      <c r="A2762" s="1079"/>
      <c r="B2762" s="475" t="s">
        <v>2606</v>
      </c>
      <c r="C2762" s="911">
        <v>8000</v>
      </c>
      <c r="D2762" s="905">
        <v>8000</v>
      </c>
      <c r="E2762" s="905"/>
      <c r="F2762" s="872"/>
      <c r="G2762" s="866"/>
      <c r="H2762" s="840">
        <f t="shared" si="86"/>
        <v>0</v>
      </c>
      <c r="I2762" s="840">
        <f t="shared" si="87"/>
        <v>16000</v>
      </c>
    </row>
    <row r="2763" spans="1:9">
      <c r="A2763" s="1079"/>
      <c r="B2763" s="475" t="s">
        <v>2607</v>
      </c>
      <c r="C2763" s="905">
        <v>20000</v>
      </c>
      <c r="D2763" s="905">
        <v>20000</v>
      </c>
      <c r="E2763" s="905"/>
      <c r="F2763" s="872"/>
      <c r="G2763" s="866"/>
      <c r="H2763" s="840">
        <f t="shared" si="86"/>
        <v>0</v>
      </c>
      <c r="I2763" s="840">
        <f t="shared" si="87"/>
        <v>40000</v>
      </c>
    </row>
    <row r="2764" spans="1:9" ht="131.25">
      <c r="A2764" s="1079"/>
      <c r="B2764" s="475" t="s">
        <v>2608</v>
      </c>
      <c r="C2764" s="905">
        <v>23700</v>
      </c>
      <c r="D2764" s="905">
        <v>15000</v>
      </c>
      <c r="E2764" s="905">
        <v>8700</v>
      </c>
      <c r="F2764" s="872"/>
      <c r="G2764" s="866"/>
      <c r="H2764" s="840">
        <f t="shared" si="86"/>
        <v>0</v>
      </c>
      <c r="I2764" s="840">
        <f t="shared" si="87"/>
        <v>47400</v>
      </c>
    </row>
    <row r="2765" spans="1:9" ht="56.25">
      <c r="A2765" s="1079"/>
      <c r="B2765" s="475" t="s">
        <v>2609</v>
      </c>
      <c r="C2765" s="905">
        <v>10000</v>
      </c>
      <c r="D2765" s="905">
        <v>10000</v>
      </c>
      <c r="E2765" s="905"/>
      <c r="F2765" s="872"/>
      <c r="G2765" s="866"/>
      <c r="H2765" s="840">
        <f t="shared" si="86"/>
        <v>0</v>
      </c>
      <c r="I2765" s="840">
        <f t="shared" si="87"/>
        <v>20000</v>
      </c>
    </row>
    <row r="2766" spans="1:9" ht="37.5">
      <c r="A2766" s="1079"/>
      <c r="B2766" s="475" t="s">
        <v>2610</v>
      </c>
      <c r="C2766" s="905">
        <v>26000</v>
      </c>
      <c r="D2766" s="905"/>
      <c r="E2766" s="905">
        <v>26000</v>
      </c>
      <c r="F2766" s="872"/>
      <c r="G2766" s="866"/>
      <c r="H2766" s="840">
        <f t="shared" si="86"/>
        <v>0</v>
      </c>
      <c r="I2766" s="840">
        <f t="shared" si="87"/>
        <v>52000</v>
      </c>
    </row>
    <row r="2767" spans="1:9" ht="37.5">
      <c r="A2767" s="1079"/>
      <c r="B2767" s="475" t="s">
        <v>2611</v>
      </c>
      <c r="C2767" s="905">
        <v>12000</v>
      </c>
      <c r="D2767" s="905">
        <v>12000</v>
      </c>
      <c r="E2767" s="905"/>
      <c r="F2767" s="872"/>
      <c r="G2767" s="866"/>
      <c r="H2767" s="840">
        <f t="shared" si="86"/>
        <v>0</v>
      </c>
      <c r="I2767" s="840">
        <f t="shared" si="87"/>
        <v>24000</v>
      </c>
    </row>
    <row r="2768" spans="1:9" ht="37.5">
      <c r="A2768" s="1079"/>
      <c r="B2768" s="475" t="s">
        <v>2612</v>
      </c>
      <c r="C2768" s="905">
        <v>15000</v>
      </c>
      <c r="D2768" s="905">
        <v>15000</v>
      </c>
      <c r="E2768" s="905"/>
      <c r="F2768" s="872"/>
      <c r="G2768" s="866"/>
      <c r="H2768" s="840">
        <f t="shared" si="86"/>
        <v>0</v>
      </c>
      <c r="I2768" s="840">
        <f t="shared" si="87"/>
        <v>30000</v>
      </c>
    </row>
    <row r="2769" spans="1:9" ht="56.25">
      <c r="A2769" s="1079"/>
      <c r="B2769" s="475" t="s">
        <v>2613</v>
      </c>
      <c r="C2769" s="905">
        <v>10000</v>
      </c>
      <c r="D2769" s="905">
        <v>10000</v>
      </c>
      <c r="E2769" s="905"/>
      <c r="F2769" s="872"/>
      <c r="G2769" s="866"/>
      <c r="H2769" s="840">
        <f t="shared" si="86"/>
        <v>0</v>
      </c>
      <c r="I2769" s="840">
        <f t="shared" si="87"/>
        <v>20000</v>
      </c>
    </row>
    <row r="2770" spans="1:9" ht="56.25">
      <c r="A2770" s="1079"/>
      <c r="B2770" s="475" t="s">
        <v>2614</v>
      </c>
      <c r="C2770" s="905">
        <f>59000</f>
        <v>59000</v>
      </c>
      <c r="D2770" s="905">
        <v>16000</v>
      </c>
      <c r="E2770" s="905">
        <f>59000-16000</f>
        <v>43000</v>
      </c>
      <c r="F2770" s="872"/>
      <c r="G2770" s="866"/>
      <c r="H2770" s="840">
        <f t="shared" si="86"/>
        <v>0</v>
      </c>
      <c r="I2770" s="840">
        <f t="shared" si="87"/>
        <v>118000</v>
      </c>
    </row>
    <row r="2771" spans="1:9" ht="37.5">
      <c r="A2771" s="1079"/>
      <c r="B2771" s="475" t="s">
        <v>2615</v>
      </c>
      <c r="C2771" s="905">
        <v>11000</v>
      </c>
      <c r="D2771" s="905">
        <v>11000</v>
      </c>
      <c r="E2771" s="905"/>
      <c r="F2771" s="872"/>
      <c r="G2771" s="866"/>
      <c r="H2771" s="840">
        <f t="shared" si="86"/>
        <v>0</v>
      </c>
      <c r="I2771" s="840">
        <f t="shared" si="87"/>
        <v>22000</v>
      </c>
    </row>
    <row r="2772" spans="1:9" ht="75">
      <c r="A2772" s="1079"/>
      <c r="B2772" s="475" t="s">
        <v>2616</v>
      </c>
      <c r="C2772" s="905">
        <v>32792</v>
      </c>
      <c r="D2772" s="905"/>
      <c r="E2772" s="905">
        <v>32792</v>
      </c>
      <c r="F2772" s="872"/>
      <c r="G2772" s="866"/>
      <c r="H2772" s="840">
        <f t="shared" si="86"/>
        <v>0</v>
      </c>
      <c r="I2772" s="840">
        <f t="shared" si="87"/>
        <v>65584</v>
      </c>
    </row>
    <row r="2773" spans="1:9" ht="75">
      <c r="A2773" s="1079"/>
      <c r="B2773" s="475" t="s">
        <v>2617</v>
      </c>
      <c r="C2773" s="905">
        <v>17208</v>
      </c>
      <c r="D2773" s="905"/>
      <c r="E2773" s="905">
        <v>17208</v>
      </c>
      <c r="F2773" s="872"/>
      <c r="G2773" s="866"/>
      <c r="H2773" s="840">
        <f t="shared" si="86"/>
        <v>0</v>
      </c>
      <c r="I2773" s="840">
        <f t="shared" si="87"/>
        <v>34416</v>
      </c>
    </row>
    <row r="2774" spans="1:9" ht="75">
      <c r="A2774" s="1079"/>
      <c r="B2774" s="475" t="s">
        <v>2618</v>
      </c>
      <c r="C2774" s="905">
        <v>50000</v>
      </c>
      <c r="D2774" s="905"/>
      <c r="E2774" s="905">
        <v>50000</v>
      </c>
      <c r="F2774" s="872"/>
      <c r="G2774" s="866"/>
      <c r="H2774" s="840">
        <f t="shared" si="86"/>
        <v>0</v>
      </c>
      <c r="I2774" s="840">
        <f t="shared" si="87"/>
        <v>100000</v>
      </c>
    </row>
    <row r="2775" spans="1:9" ht="37.5">
      <c r="A2775" s="1079"/>
      <c r="B2775" s="846" t="s">
        <v>2884</v>
      </c>
      <c r="C2775" s="933">
        <v>7000</v>
      </c>
      <c r="D2775" s="908">
        <v>7000</v>
      </c>
      <c r="E2775" s="905"/>
      <c r="F2775" s="872"/>
      <c r="G2775" s="866"/>
      <c r="H2775" s="840">
        <f t="shared" si="86"/>
        <v>0</v>
      </c>
      <c r="I2775" s="840">
        <f t="shared" si="87"/>
        <v>14000</v>
      </c>
    </row>
    <row r="2776" spans="1:9" ht="56.25">
      <c r="A2776" s="1079"/>
      <c r="B2776" s="846" t="s">
        <v>2885</v>
      </c>
      <c r="C2776" s="908">
        <v>12000</v>
      </c>
      <c r="D2776" s="908">
        <v>2000</v>
      </c>
      <c r="E2776" s="908">
        <v>10000</v>
      </c>
      <c r="F2776" s="872"/>
      <c r="G2776" s="866"/>
      <c r="H2776" s="840">
        <f t="shared" si="86"/>
        <v>0</v>
      </c>
      <c r="I2776" s="840">
        <f t="shared" si="87"/>
        <v>24000</v>
      </c>
    </row>
    <row r="2777" spans="1:9" ht="75">
      <c r="A2777" s="1079"/>
      <c r="B2777" s="475" t="s">
        <v>2886</v>
      </c>
      <c r="C2777" s="908">
        <v>24000</v>
      </c>
      <c r="D2777" s="908">
        <v>24000</v>
      </c>
      <c r="E2777" s="905"/>
      <c r="F2777" s="872"/>
      <c r="G2777" s="866"/>
      <c r="H2777" s="840">
        <f t="shared" si="86"/>
        <v>0</v>
      </c>
      <c r="I2777" s="840">
        <f t="shared" si="87"/>
        <v>48000</v>
      </c>
    </row>
    <row r="2778" spans="1:9" ht="56.25">
      <c r="A2778" s="1079"/>
      <c r="B2778" s="475" t="s">
        <v>2887</v>
      </c>
      <c r="C2778" s="906">
        <v>7000</v>
      </c>
      <c r="D2778" s="906">
        <v>7000</v>
      </c>
      <c r="E2778" s="906"/>
      <c r="F2778" s="872"/>
      <c r="G2778" s="866"/>
      <c r="H2778" s="840">
        <f t="shared" si="86"/>
        <v>0</v>
      </c>
      <c r="I2778" s="840">
        <f t="shared" si="87"/>
        <v>14000</v>
      </c>
    </row>
    <row r="2779" spans="1:9" ht="37.5">
      <c r="A2779" s="1079"/>
      <c r="B2779" s="475" t="s">
        <v>2888</v>
      </c>
      <c r="C2779" s="905">
        <v>6000</v>
      </c>
      <c r="D2779" s="905"/>
      <c r="E2779" s="905">
        <v>6000</v>
      </c>
      <c r="F2779" s="865"/>
      <c r="G2779" s="866"/>
      <c r="H2779" s="840">
        <f t="shared" si="86"/>
        <v>0</v>
      </c>
      <c r="I2779" s="840">
        <f t="shared" si="87"/>
        <v>12000</v>
      </c>
    </row>
    <row r="2780" spans="1:9" ht="37.5">
      <c r="A2780" s="1079"/>
      <c r="B2780" s="475" t="s">
        <v>2889</v>
      </c>
      <c r="C2780" s="908">
        <v>12000</v>
      </c>
      <c r="D2780" s="908"/>
      <c r="E2780" s="905">
        <v>12000</v>
      </c>
      <c r="F2780" s="865"/>
      <c r="G2780" s="866"/>
      <c r="H2780" s="840">
        <f t="shared" si="86"/>
        <v>0</v>
      </c>
      <c r="I2780" s="840">
        <f t="shared" si="87"/>
        <v>24000</v>
      </c>
    </row>
    <row r="2781" spans="1:9" ht="37.5">
      <c r="A2781" s="1079"/>
      <c r="B2781" s="475" t="s">
        <v>2890</v>
      </c>
      <c r="C2781" s="906">
        <v>8000</v>
      </c>
      <c r="D2781" s="906"/>
      <c r="E2781" s="906">
        <v>8000</v>
      </c>
      <c r="F2781" s="865"/>
      <c r="G2781" s="866"/>
      <c r="H2781" s="840">
        <f t="shared" si="86"/>
        <v>0</v>
      </c>
      <c r="I2781" s="840">
        <f t="shared" si="87"/>
        <v>16000</v>
      </c>
    </row>
    <row r="2782" spans="1:9" ht="56.25">
      <c r="A2782" s="1079"/>
      <c r="B2782" s="475" t="s">
        <v>2891</v>
      </c>
      <c r="C2782" s="905">
        <v>8000</v>
      </c>
      <c r="D2782" s="905">
        <v>8000</v>
      </c>
      <c r="E2782" s="905"/>
      <c r="F2782" s="865"/>
      <c r="G2782" s="866"/>
      <c r="H2782" s="840">
        <f t="shared" si="86"/>
        <v>0</v>
      </c>
      <c r="I2782" s="840">
        <f t="shared" si="87"/>
        <v>16000</v>
      </c>
    </row>
    <row r="2783" spans="1:9" ht="75">
      <c r="A2783" s="1079"/>
      <c r="B2783" s="475" t="s">
        <v>2892</v>
      </c>
      <c r="C2783" s="908">
        <v>8000</v>
      </c>
      <c r="D2783" s="908"/>
      <c r="E2783" s="905">
        <v>8000</v>
      </c>
      <c r="F2783" s="865"/>
      <c r="G2783" s="866"/>
      <c r="H2783" s="840">
        <f t="shared" si="86"/>
        <v>0</v>
      </c>
      <c r="I2783" s="840">
        <f t="shared" si="87"/>
        <v>16000</v>
      </c>
    </row>
    <row r="2784" spans="1:9" ht="37.5">
      <c r="A2784" s="1079"/>
      <c r="B2784" s="475" t="s">
        <v>2893</v>
      </c>
      <c r="C2784" s="908">
        <v>7441</v>
      </c>
      <c r="D2784" s="908">
        <v>7441</v>
      </c>
      <c r="E2784" s="905"/>
      <c r="F2784" s="865"/>
      <c r="G2784" s="866"/>
      <c r="H2784" s="840">
        <f t="shared" si="86"/>
        <v>0</v>
      </c>
      <c r="I2784" s="840">
        <f t="shared" si="87"/>
        <v>14882</v>
      </c>
    </row>
    <row r="2785" spans="1:9" ht="56.25">
      <c r="A2785" s="1079"/>
      <c r="B2785" s="475" t="s">
        <v>2894</v>
      </c>
      <c r="C2785" s="908">
        <v>15000</v>
      </c>
      <c r="D2785" s="908">
        <v>15000</v>
      </c>
      <c r="E2785" s="905"/>
      <c r="F2785" s="865"/>
      <c r="G2785" s="866"/>
      <c r="H2785" s="840">
        <f t="shared" si="86"/>
        <v>0</v>
      </c>
      <c r="I2785" s="840">
        <f t="shared" si="87"/>
        <v>30000</v>
      </c>
    </row>
    <row r="2786" spans="1:9" ht="56.25">
      <c r="A2786" s="1079"/>
      <c r="B2786" s="475" t="s">
        <v>2895</v>
      </c>
      <c r="C2786" s="908">
        <v>40000</v>
      </c>
      <c r="D2786" s="908">
        <v>40000</v>
      </c>
      <c r="E2786" s="905"/>
      <c r="F2786" s="865"/>
      <c r="G2786" s="866"/>
      <c r="H2786" s="840">
        <f t="shared" si="86"/>
        <v>0</v>
      </c>
      <c r="I2786" s="840">
        <f t="shared" si="87"/>
        <v>80000</v>
      </c>
    </row>
    <row r="2787" spans="1:9" ht="56.25">
      <c r="A2787" s="1079"/>
      <c r="B2787" s="535" t="s">
        <v>2896</v>
      </c>
      <c r="C2787" s="914">
        <v>5700</v>
      </c>
      <c r="D2787" s="914">
        <v>5700</v>
      </c>
      <c r="E2787" s="914"/>
      <c r="F2787" s="865"/>
      <c r="G2787" s="866"/>
      <c r="H2787" s="840">
        <f t="shared" si="86"/>
        <v>0</v>
      </c>
      <c r="I2787" s="840">
        <f t="shared" si="87"/>
        <v>11400</v>
      </c>
    </row>
    <row r="2788" spans="1:9" ht="93.75">
      <c r="A2788" s="1079"/>
      <c r="B2788" s="535" t="s">
        <v>2897</v>
      </c>
      <c r="C2788" s="914">
        <v>47202</v>
      </c>
      <c r="D2788" s="914"/>
      <c r="E2788" s="914">
        <v>47202</v>
      </c>
      <c r="F2788" s="865"/>
      <c r="G2788" s="866"/>
      <c r="H2788" s="840">
        <f t="shared" si="86"/>
        <v>0</v>
      </c>
      <c r="I2788" s="840">
        <f t="shared" si="87"/>
        <v>94404</v>
      </c>
    </row>
    <row r="2789" spans="1:9" ht="75">
      <c r="A2789" s="1079"/>
      <c r="B2789" s="535" t="s">
        <v>2898</v>
      </c>
      <c r="C2789" s="914">
        <v>101539</v>
      </c>
      <c r="D2789" s="914"/>
      <c r="E2789" s="914">
        <v>101539</v>
      </c>
      <c r="F2789" s="865"/>
      <c r="G2789" s="866"/>
      <c r="H2789" s="840">
        <f t="shared" si="86"/>
        <v>0</v>
      </c>
      <c r="I2789" s="840">
        <f t="shared" si="87"/>
        <v>203078</v>
      </c>
    </row>
    <row r="2790" spans="1:9" ht="56.25">
      <c r="A2790" s="1079"/>
      <c r="B2790" s="475" t="s">
        <v>2899</v>
      </c>
      <c r="C2790" s="908">
        <v>23000</v>
      </c>
      <c r="D2790" s="908"/>
      <c r="E2790" s="905">
        <v>23000</v>
      </c>
      <c r="F2790" s="865"/>
      <c r="G2790" s="866"/>
      <c r="H2790" s="840">
        <f t="shared" si="86"/>
        <v>0</v>
      </c>
      <c r="I2790" s="840">
        <f t="shared" si="87"/>
        <v>46000</v>
      </c>
    </row>
    <row r="2791" spans="1:9" ht="56.25">
      <c r="A2791" s="1079"/>
      <c r="B2791" s="475" t="s">
        <v>2900</v>
      </c>
      <c r="C2791" s="908">
        <v>8000</v>
      </c>
      <c r="D2791" s="908"/>
      <c r="E2791" s="905">
        <v>8000</v>
      </c>
      <c r="F2791" s="865"/>
      <c r="G2791" s="866"/>
      <c r="H2791" s="840">
        <f t="shared" si="86"/>
        <v>0</v>
      </c>
      <c r="I2791" s="840">
        <f t="shared" si="87"/>
        <v>16000</v>
      </c>
    </row>
    <row r="2792" spans="1:9" ht="37.5">
      <c r="A2792" s="1079"/>
      <c r="B2792" s="475" t="s">
        <v>2901</v>
      </c>
      <c r="C2792" s="908">
        <v>5000</v>
      </c>
      <c r="D2792" s="908">
        <v>5000</v>
      </c>
      <c r="E2792" s="905"/>
      <c r="F2792" s="865"/>
      <c r="G2792" s="866"/>
      <c r="H2792" s="840">
        <f t="shared" si="86"/>
        <v>0</v>
      </c>
      <c r="I2792" s="840">
        <f t="shared" si="87"/>
        <v>10000</v>
      </c>
    </row>
    <row r="2793" spans="1:9" ht="37.5">
      <c r="A2793" s="1079"/>
      <c r="B2793" s="475" t="s">
        <v>2902</v>
      </c>
      <c r="C2793" s="908">
        <v>3000</v>
      </c>
      <c r="D2793" s="908">
        <v>3000</v>
      </c>
      <c r="E2793" s="905"/>
      <c r="F2793" s="865"/>
      <c r="G2793" s="866"/>
      <c r="H2793" s="840">
        <f t="shared" si="86"/>
        <v>0</v>
      </c>
      <c r="I2793" s="840">
        <f t="shared" si="87"/>
        <v>6000</v>
      </c>
    </row>
    <row r="2794" spans="1:9" ht="75">
      <c r="A2794" s="1079"/>
      <c r="B2794" s="451" t="s">
        <v>2903</v>
      </c>
      <c r="C2794" s="908">
        <v>29441</v>
      </c>
      <c r="D2794" s="908">
        <v>29441</v>
      </c>
      <c r="E2794" s="908"/>
      <c r="F2794" s="865"/>
      <c r="G2794" s="866"/>
      <c r="H2794" s="840">
        <f t="shared" si="86"/>
        <v>0</v>
      </c>
      <c r="I2794" s="840">
        <f t="shared" si="87"/>
        <v>58882</v>
      </c>
    </row>
    <row r="2795" spans="1:9" ht="75">
      <c r="A2795" s="1079"/>
      <c r="B2795" s="72" t="s">
        <v>3244</v>
      </c>
      <c r="C2795" s="905">
        <v>580000</v>
      </c>
      <c r="D2795" s="905"/>
      <c r="E2795" s="905">
        <v>580000</v>
      </c>
      <c r="F2795" s="865"/>
      <c r="G2795" s="866"/>
      <c r="H2795" s="840">
        <f t="shared" si="86"/>
        <v>0</v>
      </c>
      <c r="I2795" s="840">
        <f t="shared" si="87"/>
        <v>1160000</v>
      </c>
    </row>
    <row r="2796" spans="1:9" ht="56.25">
      <c r="A2796" s="1079"/>
      <c r="B2796" s="475" t="s">
        <v>3165</v>
      </c>
      <c r="C2796" s="908">
        <v>30000</v>
      </c>
      <c r="D2796" s="908">
        <v>30000</v>
      </c>
      <c r="E2796" s="905"/>
      <c r="F2796" s="865"/>
      <c r="G2796" s="866"/>
      <c r="H2796" s="840">
        <f t="shared" si="86"/>
        <v>0</v>
      </c>
      <c r="I2796" s="840">
        <f t="shared" si="87"/>
        <v>60000</v>
      </c>
    </row>
    <row r="2797" spans="1:9" ht="56.25">
      <c r="A2797" s="1079"/>
      <c r="B2797" s="475" t="s">
        <v>3245</v>
      </c>
      <c r="C2797" s="908">
        <v>70000</v>
      </c>
      <c r="D2797" s="908">
        <v>70000</v>
      </c>
      <c r="E2797" s="905"/>
      <c r="F2797" s="865"/>
      <c r="G2797" s="866"/>
      <c r="H2797" s="840">
        <f t="shared" si="86"/>
        <v>0</v>
      </c>
      <c r="I2797" s="840">
        <f t="shared" si="87"/>
        <v>140000</v>
      </c>
    </row>
    <row r="2798" spans="1:9" hidden="1">
      <c r="A2798" s="1079"/>
      <c r="B2798" s="895"/>
      <c r="C2798" s="905"/>
      <c r="D2798" s="905"/>
      <c r="E2798" s="905"/>
      <c r="F2798" s="865"/>
      <c r="G2798" s="866"/>
      <c r="H2798" s="840">
        <f t="shared" si="86"/>
        <v>0</v>
      </c>
      <c r="I2798" s="840">
        <f t="shared" si="87"/>
        <v>0</v>
      </c>
    </row>
    <row r="2799" spans="1:9" hidden="1">
      <c r="A2799" s="1079"/>
      <c r="B2799" s="895"/>
      <c r="C2799" s="905"/>
      <c r="D2799" s="905"/>
      <c r="E2799" s="905"/>
      <c r="F2799" s="865"/>
      <c r="G2799" s="866"/>
      <c r="H2799" s="840">
        <f t="shared" si="86"/>
        <v>0</v>
      </c>
      <c r="I2799" s="840">
        <f t="shared" si="87"/>
        <v>0</v>
      </c>
    </row>
    <row r="2800" spans="1:9" hidden="1">
      <c r="A2800" s="1079"/>
      <c r="B2800" s="895"/>
      <c r="C2800" s="905"/>
      <c r="D2800" s="905"/>
      <c r="E2800" s="905"/>
      <c r="F2800" s="865"/>
      <c r="G2800" s="866"/>
      <c r="H2800" s="840">
        <f t="shared" si="86"/>
        <v>0</v>
      </c>
      <c r="I2800" s="840">
        <f t="shared" si="87"/>
        <v>0</v>
      </c>
    </row>
    <row r="2801" spans="1:9" hidden="1">
      <c r="A2801" s="1079"/>
      <c r="B2801" s="895"/>
      <c r="C2801" s="905"/>
      <c r="D2801" s="905"/>
      <c r="E2801" s="905"/>
      <c r="F2801" s="865"/>
      <c r="G2801" s="866"/>
      <c r="H2801" s="840">
        <f t="shared" si="86"/>
        <v>0</v>
      </c>
      <c r="I2801" s="840">
        <f t="shared" si="87"/>
        <v>0</v>
      </c>
    </row>
    <row r="2802" spans="1:9" hidden="1">
      <c r="A2802" s="1079"/>
      <c r="B2802" s="895"/>
      <c r="C2802" s="905"/>
      <c r="D2802" s="905"/>
      <c r="E2802" s="905"/>
      <c r="F2802" s="865"/>
      <c r="G2802" s="866"/>
      <c r="H2802" s="840">
        <f t="shared" si="86"/>
        <v>0</v>
      </c>
      <c r="I2802" s="840">
        <f t="shared" si="87"/>
        <v>0</v>
      </c>
    </row>
    <row r="2803" spans="1:9" hidden="1">
      <c r="A2803" s="1079"/>
      <c r="B2803" s="895"/>
      <c r="C2803" s="905"/>
      <c r="D2803" s="905"/>
      <c r="E2803" s="905"/>
      <c r="F2803" s="865"/>
      <c r="G2803" s="866"/>
      <c r="H2803" s="840">
        <f t="shared" si="86"/>
        <v>0</v>
      </c>
      <c r="I2803" s="840">
        <f t="shared" si="87"/>
        <v>0</v>
      </c>
    </row>
    <row r="2804" spans="1:9" hidden="1">
      <c r="A2804" s="1079"/>
      <c r="B2804" s="895"/>
      <c r="C2804" s="905"/>
      <c r="D2804" s="905"/>
      <c r="E2804" s="905"/>
      <c r="F2804" s="865"/>
      <c r="G2804" s="866"/>
      <c r="H2804" s="840">
        <f t="shared" si="86"/>
        <v>0</v>
      </c>
      <c r="I2804" s="840">
        <f t="shared" si="87"/>
        <v>0</v>
      </c>
    </row>
    <row r="2805" spans="1:9" hidden="1">
      <c r="A2805" s="1079"/>
      <c r="B2805" s="895"/>
      <c r="C2805" s="905"/>
      <c r="D2805" s="905"/>
      <c r="E2805" s="905"/>
      <c r="F2805" s="865"/>
      <c r="G2805" s="866"/>
      <c r="H2805" s="840">
        <f t="shared" si="86"/>
        <v>0</v>
      </c>
      <c r="I2805" s="840">
        <f t="shared" si="87"/>
        <v>0</v>
      </c>
    </row>
    <row r="2806" spans="1:9" hidden="1">
      <c r="A2806" s="1079"/>
      <c r="B2806" s="895"/>
      <c r="C2806" s="905"/>
      <c r="D2806" s="905"/>
      <c r="E2806" s="905"/>
      <c r="F2806" s="865"/>
      <c r="G2806" s="866"/>
      <c r="H2806" s="840">
        <f t="shared" si="86"/>
        <v>0</v>
      </c>
      <c r="I2806" s="840">
        <f t="shared" si="87"/>
        <v>0</v>
      </c>
    </row>
    <row r="2807" spans="1:9" hidden="1">
      <c r="A2807" s="1079"/>
      <c r="B2807" s="895"/>
      <c r="C2807" s="905"/>
      <c r="D2807" s="905"/>
      <c r="E2807" s="905"/>
      <c r="F2807" s="865"/>
      <c r="G2807" s="866"/>
      <c r="H2807" s="840">
        <f t="shared" si="86"/>
        <v>0</v>
      </c>
      <c r="I2807" s="840">
        <f t="shared" si="87"/>
        <v>0</v>
      </c>
    </row>
    <row r="2808" spans="1:9" hidden="1">
      <c r="A2808" s="1079"/>
      <c r="B2808" s="895"/>
      <c r="C2808" s="905"/>
      <c r="D2808" s="905"/>
      <c r="E2808" s="905"/>
      <c r="F2808" s="865"/>
      <c r="G2808" s="866"/>
      <c r="H2808" s="840">
        <f t="shared" si="86"/>
        <v>0</v>
      </c>
      <c r="I2808" s="840">
        <f t="shared" si="87"/>
        <v>0</v>
      </c>
    </row>
    <row r="2809" spans="1:9" hidden="1">
      <c r="A2809" s="1079"/>
      <c r="B2809" s="895"/>
      <c r="C2809" s="905"/>
      <c r="D2809" s="905"/>
      <c r="E2809" s="905"/>
      <c r="F2809" s="865"/>
      <c r="G2809" s="866"/>
      <c r="H2809" s="840">
        <f t="shared" si="86"/>
        <v>0</v>
      </c>
      <c r="I2809" s="840">
        <f t="shared" si="87"/>
        <v>0</v>
      </c>
    </row>
    <row r="2810" spans="1:9" hidden="1">
      <c r="A2810" s="1079"/>
      <c r="B2810" s="895"/>
      <c r="C2810" s="905"/>
      <c r="D2810" s="905"/>
      <c r="E2810" s="905"/>
      <c r="F2810" s="865"/>
      <c r="G2810" s="866"/>
      <c r="H2810" s="840">
        <f t="shared" si="86"/>
        <v>0</v>
      </c>
      <c r="I2810" s="840">
        <f t="shared" si="87"/>
        <v>0</v>
      </c>
    </row>
    <row r="2811" spans="1:9" hidden="1">
      <c r="A2811" s="1079"/>
      <c r="B2811" s="895"/>
      <c r="C2811" s="905"/>
      <c r="D2811" s="905"/>
      <c r="E2811" s="905"/>
      <c r="F2811" s="865"/>
      <c r="G2811" s="866"/>
      <c r="H2811" s="840">
        <f t="shared" si="86"/>
        <v>0</v>
      </c>
      <c r="I2811" s="840">
        <f t="shared" si="87"/>
        <v>0</v>
      </c>
    </row>
    <row r="2812" spans="1:9" hidden="1">
      <c r="A2812" s="1079"/>
      <c r="B2812" s="895"/>
      <c r="C2812" s="905"/>
      <c r="D2812" s="905"/>
      <c r="E2812" s="905"/>
      <c r="F2812" s="865"/>
      <c r="G2812" s="866"/>
      <c r="H2812" s="840">
        <f t="shared" si="86"/>
        <v>0</v>
      </c>
      <c r="I2812" s="840">
        <f t="shared" si="87"/>
        <v>0</v>
      </c>
    </row>
    <row r="2813" spans="1:9" hidden="1">
      <c r="A2813" s="1079"/>
      <c r="B2813" s="895"/>
      <c r="C2813" s="905"/>
      <c r="D2813" s="905"/>
      <c r="E2813" s="905"/>
      <c r="F2813" s="865"/>
      <c r="G2813" s="866"/>
      <c r="H2813" s="840">
        <f t="shared" si="86"/>
        <v>0</v>
      </c>
      <c r="I2813" s="840">
        <f t="shared" si="87"/>
        <v>0</v>
      </c>
    </row>
    <row r="2814" spans="1:9" hidden="1">
      <c r="A2814" s="1079"/>
      <c r="B2814" s="475"/>
      <c r="C2814" s="916"/>
      <c r="D2814" s="916"/>
      <c r="E2814" s="905"/>
      <c r="F2814" s="865"/>
      <c r="G2814" s="866"/>
      <c r="H2814" s="840">
        <f t="shared" si="86"/>
        <v>0</v>
      </c>
      <c r="I2814" s="840">
        <f t="shared" si="87"/>
        <v>0</v>
      </c>
    </row>
    <row r="2815" spans="1:9" hidden="1">
      <c r="A2815" s="1079"/>
      <c r="B2815" s="475"/>
      <c r="C2815" s="916"/>
      <c r="D2815" s="916"/>
      <c r="E2815" s="905"/>
      <c r="F2815" s="865"/>
      <c r="G2815" s="866"/>
      <c r="H2815" s="840">
        <f t="shared" si="86"/>
        <v>0</v>
      </c>
      <c r="I2815" s="840">
        <f t="shared" si="87"/>
        <v>0</v>
      </c>
    </row>
    <row r="2816" spans="1:9" hidden="1">
      <c r="A2816" s="1079"/>
      <c r="B2816" s="475"/>
      <c r="C2816" s="916"/>
      <c r="D2816" s="916"/>
      <c r="E2816" s="905"/>
      <c r="F2816" s="865"/>
      <c r="G2816" s="866"/>
      <c r="H2816" s="840">
        <f t="shared" si="86"/>
        <v>0</v>
      </c>
      <c r="I2816" s="840">
        <f t="shared" si="87"/>
        <v>0</v>
      </c>
    </row>
    <row r="2817" spans="1:9">
      <c r="A2817" s="1148"/>
      <c r="B2817" s="461" t="s">
        <v>253</v>
      </c>
      <c r="C2817" s="919">
        <f>SUM(C2670:C2816)</f>
        <v>3691670</v>
      </c>
      <c r="D2817" s="919">
        <f>SUM(D2670:D2816)</f>
        <v>1301599</v>
      </c>
      <c r="E2817" s="919">
        <f>SUM(E2670:E2816)</f>
        <v>2390071</v>
      </c>
      <c r="F2817" s="865"/>
      <c r="G2817" s="866"/>
      <c r="H2817" s="840">
        <f t="shared" si="86"/>
        <v>0</v>
      </c>
      <c r="I2817" s="840">
        <f t="shared" si="87"/>
        <v>7383340</v>
      </c>
    </row>
    <row r="2818" spans="1:9" ht="56.25">
      <c r="A2818" s="1078" t="s">
        <v>349</v>
      </c>
      <c r="B2818" s="475" t="s">
        <v>950</v>
      </c>
      <c r="C2818" s="905">
        <v>180000</v>
      </c>
      <c r="D2818" s="905"/>
      <c r="E2818" s="905">
        <v>180000</v>
      </c>
      <c r="F2818" s="865"/>
      <c r="G2818" s="866"/>
      <c r="H2818" s="840">
        <f t="shared" si="86"/>
        <v>0</v>
      </c>
      <c r="I2818" s="840">
        <f t="shared" si="87"/>
        <v>360000</v>
      </c>
    </row>
    <row r="2819" spans="1:9" ht="37.5">
      <c r="A2819" s="1079"/>
      <c r="B2819" s="475" t="s">
        <v>1454</v>
      </c>
      <c r="C2819" s="905">
        <v>300000</v>
      </c>
      <c r="D2819" s="905"/>
      <c r="E2819" s="905">
        <v>300000</v>
      </c>
      <c r="F2819" s="865"/>
      <c r="G2819" s="866"/>
      <c r="H2819" s="840">
        <f t="shared" si="86"/>
        <v>0</v>
      </c>
      <c r="I2819" s="840">
        <f t="shared" si="87"/>
        <v>600000</v>
      </c>
    </row>
    <row r="2820" spans="1:9" ht="56.25">
      <c r="A2820" s="1079"/>
      <c r="B2820" s="475" t="s">
        <v>1453</v>
      </c>
      <c r="C2820" s="530">
        <v>20000</v>
      </c>
      <c r="D2820" s="530">
        <v>20000</v>
      </c>
      <c r="E2820" s="905"/>
      <c r="F2820" s="865"/>
      <c r="G2820" s="866"/>
      <c r="H2820" s="840">
        <f t="shared" si="86"/>
        <v>0</v>
      </c>
      <c r="I2820" s="840">
        <f t="shared" si="87"/>
        <v>40000</v>
      </c>
    </row>
    <row r="2821" spans="1:9" ht="75">
      <c r="A2821" s="1079"/>
      <c r="B2821" s="888" t="s">
        <v>1795</v>
      </c>
      <c r="C2821" s="905">
        <v>35000</v>
      </c>
      <c r="D2821" s="905">
        <v>35000</v>
      </c>
      <c r="E2821" s="905"/>
      <c r="F2821" s="865"/>
      <c r="G2821" s="866"/>
      <c r="H2821" s="840">
        <f t="shared" si="86"/>
        <v>0</v>
      </c>
      <c r="I2821" s="840">
        <f t="shared" si="87"/>
        <v>70000</v>
      </c>
    </row>
    <row r="2822" spans="1:9" ht="93.75">
      <c r="A2822" s="1079"/>
      <c r="B2822" s="888" t="s">
        <v>1796</v>
      </c>
      <c r="C2822" s="905">
        <v>30000</v>
      </c>
      <c r="D2822" s="905">
        <v>30000</v>
      </c>
      <c r="E2822" s="905"/>
      <c r="F2822" s="865"/>
      <c r="G2822" s="866"/>
      <c r="H2822" s="840">
        <f t="shared" si="86"/>
        <v>0</v>
      </c>
      <c r="I2822" s="840">
        <f t="shared" si="87"/>
        <v>60000</v>
      </c>
    </row>
    <row r="2823" spans="1:9" ht="37.5">
      <c r="A2823" s="1079"/>
      <c r="B2823" s="475" t="s">
        <v>1940</v>
      </c>
      <c r="C2823" s="911">
        <v>100000</v>
      </c>
      <c r="D2823" s="911"/>
      <c r="E2823" s="911">
        <v>100000</v>
      </c>
      <c r="F2823" s="865"/>
      <c r="G2823" s="866"/>
      <c r="H2823" s="840">
        <f t="shared" si="86"/>
        <v>0</v>
      </c>
      <c r="I2823" s="840">
        <f t="shared" si="87"/>
        <v>200000</v>
      </c>
    </row>
    <row r="2824" spans="1:9" ht="75">
      <c r="A2824" s="1079"/>
      <c r="B2824" s="475" t="s">
        <v>2171</v>
      </c>
      <c r="C2824" s="908">
        <v>10000</v>
      </c>
      <c r="D2824" s="908">
        <v>10000</v>
      </c>
      <c r="E2824" s="905"/>
      <c r="F2824" s="865"/>
      <c r="G2824" s="866"/>
      <c r="H2824" s="840">
        <f t="shared" si="86"/>
        <v>0</v>
      </c>
      <c r="I2824" s="840">
        <f t="shared" si="87"/>
        <v>20000</v>
      </c>
    </row>
    <row r="2825" spans="1:9" ht="75">
      <c r="A2825" s="1079"/>
      <c r="B2825" s="475" t="s">
        <v>2172</v>
      </c>
      <c r="C2825" s="908">
        <v>5000</v>
      </c>
      <c r="D2825" s="908">
        <v>5000</v>
      </c>
      <c r="E2825" s="905"/>
      <c r="F2825" s="865"/>
      <c r="G2825" s="866"/>
      <c r="H2825" s="840">
        <f t="shared" ref="H2825:H2888" si="88">E2825+D2825-C2825</f>
        <v>0</v>
      </c>
      <c r="I2825" s="840">
        <f t="shared" ref="I2825:I2888" si="89">SUM(C2825:E2825)</f>
        <v>10000</v>
      </c>
    </row>
    <row r="2826" spans="1:9" ht="56.25">
      <c r="A2826" s="1079"/>
      <c r="B2826" s="475" t="s">
        <v>2619</v>
      </c>
      <c r="C2826" s="912">
        <v>20300</v>
      </c>
      <c r="D2826" s="912">
        <v>4300</v>
      </c>
      <c r="E2826" s="912">
        <v>16000</v>
      </c>
      <c r="F2826" s="865"/>
      <c r="G2826" s="866"/>
      <c r="H2826" s="840">
        <f t="shared" si="88"/>
        <v>0</v>
      </c>
      <c r="I2826" s="840">
        <f t="shared" si="89"/>
        <v>40600</v>
      </c>
    </row>
    <row r="2827" spans="1:9" hidden="1">
      <c r="A2827" s="1079"/>
      <c r="B2827" s="475"/>
      <c r="C2827" s="916"/>
      <c r="D2827" s="916"/>
      <c r="E2827" s="916"/>
      <c r="F2827" s="865"/>
      <c r="G2827" s="866"/>
      <c r="H2827" s="840">
        <f t="shared" si="88"/>
        <v>0</v>
      </c>
      <c r="I2827" s="840">
        <f t="shared" si="89"/>
        <v>0</v>
      </c>
    </row>
    <row r="2828" spans="1:9" hidden="1">
      <c r="A2828" s="1079"/>
      <c r="B2828" s="475"/>
      <c r="C2828" s="916"/>
      <c r="D2828" s="916"/>
      <c r="E2828" s="905"/>
      <c r="F2828" s="865"/>
      <c r="G2828" s="866"/>
      <c r="H2828" s="840">
        <f t="shared" si="88"/>
        <v>0</v>
      </c>
      <c r="I2828" s="840">
        <f t="shared" si="89"/>
        <v>0</v>
      </c>
    </row>
    <row r="2829" spans="1:9" hidden="1">
      <c r="A2829" s="1079"/>
      <c r="B2829" s="475"/>
      <c r="C2829" s="916"/>
      <c r="D2829" s="916"/>
      <c r="E2829" s="905"/>
      <c r="F2829" s="865"/>
      <c r="G2829" s="866"/>
      <c r="H2829" s="840">
        <f t="shared" si="88"/>
        <v>0</v>
      </c>
      <c r="I2829" s="840">
        <f t="shared" si="89"/>
        <v>0</v>
      </c>
    </row>
    <row r="2830" spans="1:9" hidden="1">
      <c r="A2830" s="1079"/>
      <c r="B2830" s="475"/>
      <c r="C2830" s="916"/>
      <c r="D2830" s="916"/>
      <c r="E2830" s="905"/>
      <c r="F2830" s="865"/>
      <c r="G2830" s="866"/>
      <c r="H2830" s="840">
        <f t="shared" si="88"/>
        <v>0</v>
      </c>
      <c r="I2830" s="840">
        <f t="shared" si="89"/>
        <v>0</v>
      </c>
    </row>
    <row r="2831" spans="1:9" hidden="1">
      <c r="A2831" s="1079"/>
      <c r="B2831" s="475"/>
      <c r="C2831" s="916"/>
      <c r="D2831" s="916"/>
      <c r="E2831" s="905"/>
      <c r="F2831" s="865"/>
      <c r="G2831" s="866"/>
      <c r="H2831" s="840">
        <f t="shared" si="88"/>
        <v>0</v>
      </c>
      <c r="I2831" s="840">
        <f t="shared" si="89"/>
        <v>0</v>
      </c>
    </row>
    <row r="2832" spans="1:9" hidden="1">
      <c r="A2832" s="1079"/>
      <c r="B2832" s="475"/>
      <c r="C2832" s="916"/>
      <c r="D2832" s="916"/>
      <c r="E2832" s="905"/>
      <c r="F2832" s="865"/>
      <c r="G2832" s="866"/>
      <c r="H2832" s="840">
        <f t="shared" si="88"/>
        <v>0</v>
      </c>
      <c r="I2832" s="840">
        <f t="shared" si="89"/>
        <v>0</v>
      </c>
    </row>
    <row r="2833" spans="1:9" hidden="1">
      <c r="A2833" s="1079"/>
      <c r="B2833" s="475"/>
      <c r="C2833" s="916"/>
      <c r="D2833" s="916"/>
      <c r="E2833" s="905"/>
      <c r="F2833" s="865"/>
      <c r="G2833" s="866"/>
      <c r="H2833" s="840">
        <f t="shared" si="88"/>
        <v>0</v>
      </c>
      <c r="I2833" s="840">
        <f t="shared" si="89"/>
        <v>0</v>
      </c>
    </row>
    <row r="2834" spans="1:9" hidden="1">
      <c r="A2834" s="1079"/>
      <c r="B2834" s="475"/>
      <c r="C2834" s="916"/>
      <c r="D2834" s="916"/>
      <c r="E2834" s="905"/>
      <c r="F2834" s="865"/>
      <c r="G2834" s="866"/>
      <c r="H2834" s="840">
        <f t="shared" si="88"/>
        <v>0</v>
      </c>
      <c r="I2834" s="840">
        <f t="shared" si="89"/>
        <v>0</v>
      </c>
    </row>
    <row r="2835" spans="1:9" hidden="1">
      <c r="A2835" s="1079"/>
      <c r="B2835" s="475"/>
      <c r="C2835" s="916"/>
      <c r="D2835" s="916"/>
      <c r="E2835" s="905"/>
      <c r="F2835" s="865"/>
      <c r="G2835" s="866"/>
      <c r="H2835" s="840">
        <f t="shared" si="88"/>
        <v>0</v>
      </c>
      <c r="I2835" s="840">
        <f t="shared" si="89"/>
        <v>0</v>
      </c>
    </row>
    <row r="2836" spans="1:9" hidden="1">
      <c r="A2836" s="1079"/>
      <c r="B2836" s="475"/>
      <c r="C2836" s="916"/>
      <c r="D2836" s="916"/>
      <c r="E2836" s="905"/>
      <c r="F2836" s="865"/>
      <c r="G2836" s="866"/>
      <c r="H2836" s="840">
        <f t="shared" si="88"/>
        <v>0</v>
      </c>
      <c r="I2836" s="840">
        <f t="shared" si="89"/>
        <v>0</v>
      </c>
    </row>
    <row r="2837" spans="1:9" hidden="1">
      <c r="A2837" s="1079"/>
      <c r="B2837" s="475"/>
      <c r="C2837" s="916"/>
      <c r="D2837" s="916"/>
      <c r="E2837" s="905"/>
      <c r="F2837" s="865"/>
      <c r="G2837" s="866"/>
      <c r="H2837" s="840">
        <f t="shared" si="88"/>
        <v>0</v>
      </c>
      <c r="I2837" s="840">
        <f t="shared" si="89"/>
        <v>0</v>
      </c>
    </row>
    <row r="2838" spans="1:9" hidden="1">
      <c r="A2838" s="1079"/>
      <c r="B2838" s="475"/>
      <c r="C2838" s="916"/>
      <c r="D2838" s="916"/>
      <c r="E2838" s="905"/>
      <c r="F2838" s="865"/>
      <c r="G2838" s="866"/>
      <c r="H2838" s="840">
        <f t="shared" si="88"/>
        <v>0</v>
      </c>
      <c r="I2838" s="840">
        <f t="shared" si="89"/>
        <v>0</v>
      </c>
    </row>
    <row r="2839" spans="1:9" hidden="1">
      <c r="A2839" s="1079"/>
      <c r="B2839" s="475"/>
      <c r="C2839" s="916"/>
      <c r="D2839" s="916"/>
      <c r="E2839" s="905"/>
      <c r="F2839" s="865"/>
      <c r="G2839" s="866"/>
      <c r="H2839" s="840">
        <f t="shared" si="88"/>
        <v>0</v>
      </c>
      <c r="I2839" s="840">
        <f t="shared" si="89"/>
        <v>0</v>
      </c>
    </row>
    <row r="2840" spans="1:9" hidden="1">
      <c r="A2840" s="1079"/>
      <c r="B2840" s="475"/>
      <c r="C2840" s="916"/>
      <c r="D2840" s="916"/>
      <c r="E2840" s="905"/>
      <c r="F2840" s="865"/>
      <c r="G2840" s="866"/>
      <c r="H2840" s="840">
        <f t="shared" si="88"/>
        <v>0</v>
      </c>
      <c r="I2840" s="840">
        <f t="shared" si="89"/>
        <v>0</v>
      </c>
    </row>
    <row r="2841" spans="1:9" hidden="1">
      <c r="A2841" s="1079"/>
      <c r="B2841" s="475"/>
      <c r="C2841" s="916"/>
      <c r="D2841" s="916"/>
      <c r="E2841" s="905"/>
      <c r="F2841" s="865"/>
      <c r="G2841" s="866"/>
      <c r="H2841" s="840">
        <f t="shared" si="88"/>
        <v>0</v>
      </c>
      <c r="I2841" s="840">
        <f t="shared" si="89"/>
        <v>0</v>
      </c>
    </row>
    <row r="2842" spans="1:9" hidden="1">
      <c r="A2842" s="1079"/>
      <c r="B2842" s="475"/>
      <c r="C2842" s="916"/>
      <c r="D2842" s="916"/>
      <c r="E2842" s="905"/>
      <c r="F2842" s="865"/>
      <c r="G2842" s="866"/>
      <c r="H2842" s="840">
        <f t="shared" si="88"/>
        <v>0</v>
      </c>
      <c r="I2842" s="840">
        <f t="shared" si="89"/>
        <v>0</v>
      </c>
    </row>
    <row r="2843" spans="1:9" hidden="1">
      <c r="A2843" s="1079"/>
      <c r="B2843" s="475"/>
      <c r="C2843" s="916"/>
      <c r="D2843" s="916"/>
      <c r="E2843" s="905"/>
      <c r="F2843" s="865"/>
      <c r="G2843" s="866"/>
      <c r="H2843" s="840">
        <f t="shared" si="88"/>
        <v>0</v>
      </c>
      <c r="I2843" s="840">
        <f t="shared" si="89"/>
        <v>0</v>
      </c>
    </row>
    <row r="2844" spans="1:9" hidden="1">
      <c r="A2844" s="1079"/>
      <c r="B2844" s="475"/>
      <c r="C2844" s="916"/>
      <c r="D2844" s="916"/>
      <c r="E2844" s="905"/>
      <c r="F2844" s="865"/>
      <c r="G2844" s="866"/>
      <c r="H2844" s="840">
        <f t="shared" si="88"/>
        <v>0</v>
      </c>
      <c r="I2844" s="840">
        <f t="shared" si="89"/>
        <v>0</v>
      </c>
    </row>
    <row r="2845" spans="1:9" hidden="1">
      <c r="A2845" s="1079"/>
      <c r="B2845" s="475"/>
      <c r="C2845" s="916"/>
      <c r="D2845" s="916"/>
      <c r="E2845" s="905"/>
      <c r="F2845" s="865"/>
      <c r="G2845" s="866"/>
      <c r="H2845" s="840">
        <f t="shared" si="88"/>
        <v>0</v>
      </c>
      <c r="I2845" s="840">
        <f t="shared" si="89"/>
        <v>0</v>
      </c>
    </row>
    <row r="2846" spans="1:9" hidden="1">
      <c r="A2846" s="1079"/>
      <c r="B2846" s="475"/>
      <c r="C2846" s="916"/>
      <c r="D2846" s="916"/>
      <c r="E2846" s="905"/>
      <c r="F2846" s="865"/>
      <c r="G2846" s="866"/>
      <c r="H2846" s="840">
        <f t="shared" si="88"/>
        <v>0</v>
      </c>
      <c r="I2846" s="840">
        <f t="shared" si="89"/>
        <v>0</v>
      </c>
    </row>
    <row r="2847" spans="1:9" hidden="1">
      <c r="A2847" s="1079"/>
      <c r="B2847" s="475"/>
      <c r="C2847" s="916"/>
      <c r="D2847" s="916"/>
      <c r="E2847" s="905"/>
      <c r="F2847" s="865"/>
      <c r="G2847" s="866"/>
      <c r="H2847" s="840">
        <f t="shared" si="88"/>
        <v>0</v>
      </c>
      <c r="I2847" s="840">
        <f t="shared" si="89"/>
        <v>0</v>
      </c>
    </row>
    <row r="2848" spans="1:9" hidden="1">
      <c r="A2848" s="1079"/>
      <c r="B2848" s="475"/>
      <c r="C2848" s="916"/>
      <c r="D2848" s="916"/>
      <c r="E2848" s="905"/>
      <c r="F2848" s="865"/>
      <c r="G2848" s="866"/>
      <c r="H2848" s="840">
        <f t="shared" si="88"/>
        <v>0</v>
      </c>
      <c r="I2848" s="840">
        <f t="shared" si="89"/>
        <v>0</v>
      </c>
    </row>
    <row r="2849" spans="1:9" hidden="1">
      <c r="A2849" s="1079"/>
      <c r="B2849" s="475"/>
      <c r="C2849" s="916"/>
      <c r="D2849" s="916"/>
      <c r="E2849" s="905"/>
      <c r="F2849" s="865"/>
      <c r="G2849" s="866"/>
      <c r="H2849" s="840">
        <f t="shared" si="88"/>
        <v>0</v>
      </c>
      <c r="I2849" s="840">
        <f t="shared" si="89"/>
        <v>0</v>
      </c>
    </row>
    <row r="2850" spans="1:9" hidden="1">
      <c r="A2850" s="1079"/>
      <c r="B2850" s="475"/>
      <c r="C2850" s="916"/>
      <c r="D2850" s="916"/>
      <c r="E2850" s="905"/>
      <c r="F2850" s="865"/>
      <c r="G2850" s="866"/>
      <c r="H2850" s="840">
        <f t="shared" si="88"/>
        <v>0</v>
      </c>
      <c r="I2850" s="840">
        <f t="shared" si="89"/>
        <v>0</v>
      </c>
    </row>
    <row r="2851" spans="1:9" hidden="1">
      <c r="A2851" s="1079"/>
      <c r="B2851" s="475"/>
      <c r="C2851" s="916"/>
      <c r="D2851" s="916"/>
      <c r="E2851" s="905"/>
      <c r="F2851" s="865"/>
      <c r="G2851" s="866"/>
      <c r="H2851" s="840">
        <f t="shared" si="88"/>
        <v>0</v>
      </c>
      <c r="I2851" s="840">
        <f t="shared" si="89"/>
        <v>0</v>
      </c>
    </row>
    <row r="2852" spans="1:9">
      <c r="A2852" s="1148"/>
      <c r="B2852" s="461" t="s">
        <v>253</v>
      </c>
      <c r="C2852" s="919">
        <f>SUM(C2818:C2851)</f>
        <v>700300</v>
      </c>
      <c r="D2852" s="919">
        <f>SUM(D2818:D2851)</f>
        <v>104300</v>
      </c>
      <c r="E2852" s="919">
        <f>SUM(E2818:E2851)</f>
        <v>596000</v>
      </c>
      <c r="F2852" s="865"/>
      <c r="G2852" s="866"/>
      <c r="H2852" s="840">
        <f t="shared" si="88"/>
        <v>0</v>
      </c>
      <c r="I2852" s="840">
        <f t="shared" si="89"/>
        <v>1400600</v>
      </c>
    </row>
    <row r="2853" spans="1:9" ht="56.25">
      <c r="A2853" s="1078" t="s">
        <v>350</v>
      </c>
      <c r="B2853" s="475" t="s">
        <v>2521</v>
      </c>
      <c r="C2853" s="916">
        <v>77960</v>
      </c>
      <c r="D2853" s="916"/>
      <c r="E2853" s="905">
        <v>77960</v>
      </c>
      <c r="F2853" s="865"/>
      <c r="G2853" s="866"/>
      <c r="H2853" s="840">
        <f t="shared" si="88"/>
        <v>0</v>
      </c>
      <c r="I2853" s="840">
        <f t="shared" si="89"/>
        <v>155920</v>
      </c>
    </row>
    <row r="2854" spans="1:9" ht="75">
      <c r="A2854" s="1079"/>
      <c r="B2854" s="535" t="s">
        <v>2904</v>
      </c>
      <c r="C2854" s="915">
        <v>10000</v>
      </c>
      <c r="D2854" s="915"/>
      <c r="E2854" s="914">
        <v>10000</v>
      </c>
      <c r="F2854" s="865"/>
      <c r="G2854" s="866"/>
      <c r="H2854" s="840">
        <f t="shared" si="88"/>
        <v>0</v>
      </c>
      <c r="I2854" s="840">
        <f t="shared" si="89"/>
        <v>20000</v>
      </c>
    </row>
    <row r="2855" spans="1:9" ht="75">
      <c r="A2855" s="1079"/>
      <c r="B2855" s="475" t="s">
        <v>964</v>
      </c>
      <c r="C2855" s="916">
        <v>150000</v>
      </c>
      <c r="D2855" s="916"/>
      <c r="E2855" s="905">
        <v>150000</v>
      </c>
      <c r="F2855" s="865"/>
      <c r="G2855" s="866"/>
      <c r="H2855" s="840">
        <f t="shared" si="88"/>
        <v>0</v>
      </c>
      <c r="I2855" s="840">
        <f t="shared" si="89"/>
        <v>300000</v>
      </c>
    </row>
    <row r="2856" spans="1:9" hidden="1">
      <c r="A2856" s="1079"/>
      <c r="B2856" s="475"/>
      <c r="C2856" s="916"/>
      <c r="D2856" s="916"/>
      <c r="E2856" s="905"/>
      <c r="F2856" s="865"/>
      <c r="G2856" s="866"/>
      <c r="H2856" s="840">
        <f t="shared" si="88"/>
        <v>0</v>
      </c>
      <c r="I2856" s="840">
        <f t="shared" si="89"/>
        <v>0</v>
      </c>
    </row>
    <row r="2857" spans="1:9" hidden="1">
      <c r="A2857" s="1079"/>
      <c r="B2857" s="475"/>
      <c r="C2857" s="916"/>
      <c r="D2857" s="916"/>
      <c r="E2857" s="905"/>
      <c r="F2857" s="865"/>
      <c r="G2857" s="866"/>
      <c r="H2857" s="840">
        <f t="shared" si="88"/>
        <v>0</v>
      </c>
      <c r="I2857" s="840">
        <f t="shared" si="89"/>
        <v>0</v>
      </c>
    </row>
    <row r="2858" spans="1:9" hidden="1">
      <c r="A2858" s="1079"/>
      <c r="B2858" s="846"/>
      <c r="C2858" s="904"/>
      <c r="D2858" s="904"/>
      <c r="E2858" s="904"/>
      <c r="F2858" s="865"/>
      <c r="G2858" s="866"/>
      <c r="H2858" s="840">
        <f t="shared" si="88"/>
        <v>0</v>
      </c>
      <c r="I2858" s="840">
        <f t="shared" si="89"/>
        <v>0</v>
      </c>
    </row>
    <row r="2859" spans="1:9" hidden="1">
      <c r="A2859" s="1079"/>
      <c r="B2859" s="846"/>
      <c r="C2859" s="906"/>
      <c r="D2859" s="906"/>
      <c r="E2859" s="904"/>
      <c r="F2859" s="865"/>
      <c r="G2859" s="866"/>
      <c r="H2859" s="840">
        <f t="shared" si="88"/>
        <v>0</v>
      </c>
      <c r="I2859" s="840">
        <f t="shared" si="89"/>
        <v>0</v>
      </c>
    </row>
    <row r="2860" spans="1:9" hidden="1">
      <c r="A2860" s="1079"/>
      <c r="B2860" s="846"/>
      <c r="C2860" s="904"/>
      <c r="D2860" s="904"/>
      <c r="E2860" s="904"/>
      <c r="F2860" s="865"/>
      <c r="G2860" s="866"/>
      <c r="H2860" s="840">
        <f t="shared" si="88"/>
        <v>0</v>
      </c>
      <c r="I2860" s="840">
        <f t="shared" si="89"/>
        <v>0</v>
      </c>
    </row>
    <row r="2861" spans="1:9" hidden="1">
      <c r="A2861" s="1079"/>
      <c r="B2861" s="475"/>
      <c r="C2861" s="916"/>
      <c r="D2861" s="916"/>
      <c r="E2861" s="916"/>
      <c r="F2861" s="865"/>
      <c r="G2861" s="866"/>
      <c r="H2861" s="840">
        <f t="shared" si="88"/>
        <v>0</v>
      </c>
      <c r="I2861" s="840">
        <f t="shared" si="89"/>
        <v>0</v>
      </c>
    </row>
    <row r="2862" spans="1:9" hidden="1">
      <c r="A2862" s="1079"/>
      <c r="B2862" s="475"/>
      <c r="C2862" s="916"/>
      <c r="D2862" s="916"/>
      <c r="E2862" s="916"/>
      <c r="F2862" s="865"/>
      <c r="G2862" s="866"/>
      <c r="H2862" s="840">
        <f t="shared" si="88"/>
        <v>0</v>
      </c>
      <c r="I2862" s="840">
        <f t="shared" si="89"/>
        <v>0</v>
      </c>
    </row>
    <row r="2863" spans="1:9" hidden="1">
      <c r="A2863" s="1079"/>
      <c r="B2863" s="475"/>
      <c r="C2863" s="916"/>
      <c r="D2863" s="916"/>
      <c r="E2863" s="905"/>
      <c r="F2863" s="865"/>
      <c r="G2863" s="866"/>
      <c r="H2863" s="840">
        <f t="shared" si="88"/>
        <v>0</v>
      </c>
      <c r="I2863" s="840">
        <f t="shared" si="89"/>
        <v>0</v>
      </c>
    </row>
    <row r="2864" spans="1:9" hidden="1">
      <c r="A2864" s="1079"/>
      <c r="B2864" s="475"/>
      <c r="C2864" s="916"/>
      <c r="D2864" s="916"/>
      <c r="E2864" s="905"/>
      <c r="F2864" s="865"/>
      <c r="G2864" s="866"/>
      <c r="H2864" s="840">
        <f t="shared" si="88"/>
        <v>0</v>
      </c>
      <c r="I2864" s="840">
        <f t="shared" si="89"/>
        <v>0</v>
      </c>
    </row>
    <row r="2865" spans="1:9" hidden="1">
      <c r="A2865" s="1079"/>
      <c r="B2865" s="475"/>
      <c r="C2865" s="916"/>
      <c r="D2865" s="916"/>
      <c r="E2865" s="905"/>
      <c r="F2865" s="865"/>
      <c r="G2865" s="866"/>
      <c r="H2865" s="840">
        <f t="shared" si="88"/>
        <v>0</v>
      </c>
      <c r="I2865" s="840">
        <f t="shared" si="89"/>
        <v>0</v>
      </c>
    </row>
    <row r="2866" spans="1:9" hidden="1">
      <c r="A2866" s="1079"/>
      <c r="B2866" s="475"/>
      <c r="C2866" s="916"/>
      <c r="D2866" s="916"/>
      <c r="E2866" s="905"/>
      <c r="F2866" s="865"/>
      <c r="G2866" s="866"/>
      <c r="H2866" s="840">
        <f t="shared" si="88"/>
        <v>0</v>
      </c>
      <c r="I2866" s="840">
        <f t="shared" si="89"/>
        <v>0</v>
      </c>
    </row>
    <row r="2867" spans="1:9" hidden="1">
      <c r="A2867" s="1079"/>
      <c r="B2867" s="475"/>
      <c r="C2867" s="916"/>
      <c r="D2867" s="916"/>
      <c r="E2867" s="905"/>
      <c r="F2867" s="865"/>
      <c r="G2867" s="866"/>
      <c r="H2867" s="840">
        <f t="shared" si="88"/>
        <v>0</v>
      </c>
      <c r="I2867" s="840">
        <f t="shared" si="89"/>
        <v>0</v>
      </c>
    </row>
    <row r="2868" spans="1:9" hidden="1">
      <c r="A2868" s="1079"/>
      <c r="B2868" s="475"/>
      <c r="C2868" s="916"/>
      <c r="D2868" s="916"/>
      <c r="E2868" s="905"/>
      <c r="F2868" s="865"/>
      <c r="G2868" s="866"/>
      <c r="H2868" s="840">
        <f t="shared" si="88"/>
        <v>0</v>
      </c>
      <c r="I2868" s="840">
        <f t="shared" si="89"/>
        <v>0</v>
      </c>
    </row>
    <row r="2869" spans="1:9" hidden="1">
      <c r="A2869" s="1079"/>
      <c r="B2869" s="475"/>
      <c r="C2869" s="916"/>
      <c r="D2869" s="916"/>
      <c r="E2869" s="905"/>
      <c r="F2869" s="865"/>
      <c r="G2869" s="866"/>
      <c r="H2869" s="840">
        <f t="shared" si="88"/>
        <v>0</v>
      </c>
      <c r="I2869" s="840">
        <f t="shared" si="89"/>
        <v>0</v>
      </c>
    </row>
    <row r="2870" spans="1:9" hidden="1">
      <c r="A2870" s="1079"/>
      <c r="B2870" s="475"/>
      <c r="C2870" s="916"/>
      <c r="D2870" s="916"/>
      <c r="E2870" s="905"/>
      <c r="F2870" s="865"/>
      <c r="G2870" s="866"/>
      <c r="H2870" s="840">
        <f t="shared" si="88"/>
        <v>0</v>
      </c>
      <c r="I2870" s="840">
        <f t="shared" si="89"/>
        <v>0</v>
      </c>
    </row>
    <row r="2871" spans="1:9" hidden="1">
      <c r="A2871" s="1079"/>
      <c r="B2871" s="475"/>
      <c r="C2871" s="916"/>
      <c r="D2871" s="916"/>
      <c r="E2871" s="905"/>
      <c r="F2871" s="865"/>
      <c r="G2871" s="866"/>
      <c r="H2871" s="840">
        <f t="shared" si="88"/>
        <v>0</v>
      </c>
      <c r="I2871" s="840">
        <f t="shared" si="89"/>
        <v>0</v>
      </c>
    </row>
    <row r="2872" spans="1:9" hidden="1">
      <c r="A2872" s="1079"/>
      <c r="B2872" s="475"/>
      <c r="C2872" s="916"/>
      <c r="D2872" s="916"/>
      <c r="E2872" s="905"/>
      <c r="F2872" s="865"/>
      <c r="G2872" s="866"/>
      <c r="H2872" s="840">
        <f t="shared" si="88"/>
        <v>0</v>
      </c>
      <c r="I2872" s="840">
        <f t="shared" si="89"/>
        <v>0</v>
      </c>
    </row>
    <row r="2873" spans="1:9" hidden="1">
      <c r="A2873" s="1079"/>
      <c r="B2873" s="475"/>
      <c r="C2873" s="916"/>
      <c r="D2873" s="916"/>
      <c r="E2873" s="905"/>
      <c r="F2873" s="865"/>
      <c r="G2873" s="866"/>
      <c r="H2873" s="840">
        <f t="shared" si="88"/>
        <v>0</v>
      </c>
      <c r="I2873" s="840">
        <f t="shared" si="89"/>
        <v>0</v>
      </c>
    </row>
    <row r="2874" spans="1:9" hidden="1">
      <c r="A2874" s="1079"/>
      <c r="B2874" s="475"/>
      <c r="C2874" s="916"/>
      <c r="D2874" s="916"/>
      <c r="E2874" s="905"/>
      <c r="F2874" s="865"/>
      <c r="G2874" s="866"/>
      <c r="H2874" s="840">
        <f t="shared" si="88"/>
        <v>0</v>
      </c>
      <c r="I2874" s="840">
        <f t="shared" si="89"/>
        <v>0</v>
      </c>
    </row>
    <row r="2875" spans="1:9" hidden="1">
      <c r="A2875" s="1079"/>
      <c r="B2875" s="475"/>
      <c r="C2875" s="916"/>
      <c r="D2875" s="916"/>
      <c r="E2875" s="905"/>
      <c r="F2875" s="865"/>
      <c r="G2875" s="866"/>
      <c r="H2875" s="840">
        <f t="shared" si="88"/>
        <v>0</v>
      </c>
      <c r="I2875" s="840">
        <f t="shared" si="89"/>
        <v>0</v>
      </c>
    </row>
    <row r="2876" spans="1:9" hidden="1">
      <c r="A2876" s="1079"/>
      <c r="B2876" s="475"/>
      <c r="C2876" s="916"/>
      <c r="D2876" s="916"/>
      <c r="E2876" s="905"/>
      <c r="F2876" s="865"/>
      <c r="G2876" s="866"/>
      <c r="H2876" s="840">
        <f t="shared" si="88"/>
        <v>0</v>
      </c>
      <c r="I2876" s="840">
        <f t="shared" si="89"/>
        <v>0</v>
      </c>
    </row>
    <row r="2877" spans="1:9" hidden="1">
      <c r="A2877" s="1079"/>
      <c r="B2877" s="475"/>
      <c r="C2877" s="916"/>
      <c r="D2877" s="916"/>
      <c r="E2877" s="905"/>
      <c r="F2877" s="865"/>
      <c r="G2877" s="866"/>
      <c r="H2877" s="840">
        <f t="shared" si="88"/>
        <v>0</v>
      </c>
      <c r="I2877" s="840">
        <f t="shared" si="89"/>
        <v>0</v>
      </c>
    </row>
    <row r="2878" spans="1:9" hidden="1">
      <c r="A2878" s="1079"/>
      <c r="B2878" s="475"/>
      <c r="C2878" s="916"/>
      <c r="D2878" s="916"/>
      <c r="E2878" s="905"/>
      <c r="F2878" s="865"/>
      <c r="G2878" s="866"/>
      <c r="H2878" s="840">
        <f t="shared" si="88"/>
        <v>0</v>
      </c>
      <c r="I2878" s="840">
        <f t="shared" si="89"/>
        <v>0</v>
      </c>
    </row>
    <row r="2879" spans="1:9" hidden="1">
      <c r="A2879" s="1079"/>
      <c r="B2879" s="475"/>
      <c r="C2879" s="916"/>
      <c r="D2879" s="916"/>
      <c r="E2879" s="905"/>
      <c r="F2879" s="865"/>
      <c r="G2879" s="866"/>
      <c r="H2879" s="840">
        <f t="shared" si="88"/>
        <v>0</v>
      </c>
      <c r="I2879" s="840">
        <f t="shared" si="89"/>
        <v>0</v>
      </c>
    </row>
    <row r="2880" spans="1:9" hidden="1">
      <c r="A2880" s="1079"/>
      <c r="B2880" s="475"/>
      <c r="C2880" s="916"/>
      <c r="D2880" s="916"/>
      <c r="E2880" s="905"/>
      <c r="F2880" s="865"/>
      <c r="G2880" s="866"/>
      <c r="H2880" s="840">
        <f t="shared" si="88"/>
        <v>0</v>
      </c>
      <c r="I2880" s="840">
        <f t="shared" si="89"/>
        <v>0</v>
      </c>
    </row>
    <row r="2881" spans="1:9" hidden="1">
      <c r="A2881" s="1079"/>
      <c r="B2881" s="475"/>
      <c r="C2881" s="916"/>
      <c r="D2881" s="916"/>
      <c r="E2881" s="905"/>
      <c r="F2881" s="865"/>
      <c r="G2881" s="866"/>
      <c r="H2881" s="840">
        <f t="shared" si="88"/>
        <v>0</v>
      </c>
      <c r="I2881" s="840">
        <f t="shared" si="89"/>
        <v>0</v>
      </c>
    </row>
    <row r="2882" spans="1:9" hidden="1">
      <c r="A2882" s="1079"/>
      <c r="B2882" s="475"/>
      <c r="C2882" s="916"/>
      <c r="D2882" s="916"/>
      <c r="E2882" s="905"/>
      <c r="F2882" s="865"/>
      <c r="G2882" s="866"/>
      <c r="H2882" s="840">
        <f t="shared" si="88"/>
        <v>0</v>
      </c>
      <c r="I2882" s="840">
        <f t="shared" si="89"/>
        <v>0</v>
      </c>
    </row>
    <row r="2883" spans="1:9" hidden="1">
      <c r="A2883" s="1079"/>
      <c r="B2883" s="475"/>
      <c r="C2883" s="916"/>
      <c r="D2883" s="916"/>
      <c r="E2883" s="905"/>
      <c r="F2883" s="865"/>
      <c r="G2883" s="866"/>
      <c r="H2883" s="840">
        <f t="shared" si="88"/>
        <v>0</v>
      </c>
      <c r="I2883" s="840">
        <f t="shared" si="89"/>
        <v>0</v>
      </c>
    </row>
    <row r="2884" spans="1:9" hidden="1">
      <c r="A2884" s="1079"/>
      <c r="B2884" s="475"/>
      <c r="C2884" s="916"/>
      <c r="D2884" s="916"/>
      <c r="E2884" s="905"/>
      <c r="F2884" s="865"/>
      <c r="G2884" s="866"/>
      <c r="H2884" s="840">
        <f t="shared" si="88"/>
        <v>0</v>
      </c>
      <c r="I2884" s="840">
        <f t="shared" si="89"/>
        <v>0</v>
      </c>
    </row>
    <row r="2885" spans="1:9" hidden="1">
      <c r="A2885" s="1079"/>
      <c r="B2885" s="475"/>
      <c r="C2885" s="916"/>
      <c r="D2885" s="916"/>
      <c r="E2885" s="905"/>
      <c r="F2885" s="865"/>
      <c r="G2885" s="866"/>
      <c r="H2885" s="840">
        <f t="shared" si="88"/>
        <v>0</v>
      </c>
      <c r="I2885" s="840">
        <f t="shared" si="89"/>
        <v>0</v>
      </c>
    </row>
    <row r="2886" spans="1:9" hidden="1">
      <c r="A2886" s="1079"/>
      <c r="B2886" s="475"/>
      <c r="C2886" s="916"/>
      <c r="D2886" s="916"/>
      <c r="E2886" s="905"/>
      <c r="F2886" s="865"/>
      <c r="G2886" s="866"/>
      <c r="H2886" s="840">
        <f t="shared" si="88"/>
        <v>0</v>
      </c>
      <c r="I2886" s="840">
        <f t="shared" si="89"/>
        <v>0</v>
      </c>
    </row>
    <row r="2887" spans="1:9">
      <c r="A2887" s="1148"/>
      <c r="B2887" s="461" t="s">
        <v>253</v>
      </c>
      <c r="C2887" s="945">
        <f>SUM(C2853:C2886)</f>
        <v>237960</v>
      </c>
      <c r="D2887" s="945">
        <f>SUM(D2853:D2886)</f>
        <v>0</v>
      </c>
      <c r="E2887" s="945">
        <f>SUM(E2853:E2886)</f>
        <v>237960</v>
      </c>
      <c r="F2887" s="865"/>
      <c r="G2887" s="866"/>
      <c r="H2887" s="840">
        <f t="shared" si="88"/>
        <v>0</v>
      </c>
      <c r="I2887" s="840">
        <f t="shared" si="89"/>
        <v>475920</v>
      </c>
    </row>
    <row r="2888" spans="1:9" ht="56.25">
      <c r="A2888" s="1078" t="s">
        <v>491</v>
      </c>
      <c r="B2888" s="535" t="s">
        <v>1103</v>
      </c>
      <c r="C2888" s="905">
        <v>3000</v>
      </c>
      <c r="D2888" s="905">
        <v>3000</v>
      </c>
      <c r="E2888" s="905"/>
      <c r="F2888" s="865"/>
      <c r="G2888" s="866"/>
      <c r="H2888" s="840">
        <f t="shared" si="88"/>
        <v>0</v>
      </c>
      <c r="I2888" s="840">
        <f t="shared" si="89"/>
        <v>6000</v>
      </c>
    </row>
    <row r="2889" spans="1:9" ht="37.5">
      <c r="A2889" s="1079"/>
      <c r="B2889" s="535" t="s">
        <v>1104</v>
      </c>
      <c r="C2889" s="905">
        <v>2000</v>
      </c>
      <c r="D2889" s="905">
        <v>2000</v>
      </c>
      <c r="E2889" s="905"/>
      <c r="F2889" s="865"/>
      <c r="G2889" s="866"/>
      <c r="H2889" s="840">
        <f t="shared" ref="H2889:H2952" si="90">E2889+D2889-C2889</f>
        <v>0</v>
      </c>
      <c r="I2889" s="840">
        <f t="shared" ref="I2889:I2952" si="91">SUM(C2889:E2889)</f>
        <v>4000</v>
      </c>
    </row>
    <row r="2890" spans="1:9" ht="37.5">
      <c r="A2890" s="1079"/>
      <c r="B2890" s="535" t="s">
        <v>1105</v>
      </c>
      <c r="C2890" s="905">
        <v>6000</v>
      </c>
      <c r="D2890" s="905"/>
      <c r="E2890" s="905">
        <v>6000</v>
      </c>
      <c r="F2890" s="865"/>
      <c r="G2890" s="866"/>
      <c r="H2890" s="840">
        <f t="shared" si="90"/>
        <v>0</v>
      </c>
      <c r="I2890" s="840">
        <f t="shared" si="91"/>
        <v>12000</v>
      </c>
    </row>
    <row r="2891" spans="1:9" ht="93.75">
      <c r="A2891" s="1079"/>
      <c r="B2891" s="535" t="s">
        <v>2302</v>
      </c>
      <c r="C2891" s="908">
        <v>5000</v>
      </c>
      <c r="D2891" s="908"/>
      <c r="E2891" s="905">
        <v>5000</v>
      </c>
      <c r="F2891" s="865"/>
      <c r="G2891" s="866"/>
      <c r="H2891" s="840">
        <f t="shared" si="90"/>
        <v>0</v>
      </c>
      <c r="I2891" s="840">
        <f t="shared" si="91"/>
        <v>10000</v>
      </c>
    </row>
    <row r="2892" spans="1:9" ht="37.5">
      <c r="A2892" s="1079"/>
      <c r="B2892" s="475" t="s">
        <v>1921</v>
      </c>
      <c r="C2892" s="911">
        <v>50000</v>
      </c>
      <c r="D2892" s="911">
        <v>50000</v>
      </c>
      <c r="E2892" s="911"/>
      <c r="F2892" s="865"/>
      <c r="G2892" s="866"/>
      <c r="H2892" s="840">
        <f t="shared" si="90"/>
        <v>0</v>
      </c>
      <c r="I2892" s="840">
        <f t="shared" si="91"/>
        <v>100000</v>
      </c>
    </row>
    <row r="2893" spans="1:9" ht="75">
      <c r="A2893" s="1079"/>
      <c r="B2893" s="475" t="s">
        <v>2173</v>
      </c>
      <c r="C2893" s="905">
        <v>15000</v>
      </c>
      <c r="D2893" s="905">
        <f>15000-15000</f>
        <v>0</v>
      </c>
      <c r="E2893" s="905">
        <v>15000</v>
      </c>
      <c r="F2893" s="865"/>
      <c r="G2893" s="866"/>
      <c r="H2893" s="840">
        <f t="shared" si="90"/>
        <v>0</v>
      </c>
      <c r="I2893" s="840">
        <f t="shared" si="91"/>
        <v>30000</v>
      </c>
    </row>
    <row r="2894" spans="1:9" hidden="1">
      <c r="A2894" s="1079"/>
      <c r="B2894" s="475"/>
      <c r="C2894" s="916"/>
      <c r="D2894" s="916"/>
      <c r="E2894" s="916"/>
      <c r="F2894" s="865"/>
      <c r="G2894" s="866"/>
      <c r="H2894" s="840">
        <f t="shared" si="90"/>
        <v>0</v>
      </c>
      <c r="I2894" s="840">
        <f t="shared" si="91"/>
        <v>0</v>
      </c>
    </row>
    <row r="2895" spans="1:9" hidden="1">
      <c r="A2895" s="1079"/>
      <c r="B2895" s="475"/>
      <c r="C2895" s="916"/>
      <c r="D2895" s="916"/>
      <c r="E2895" s="916"/>
      <c r="F2895" s="865"/>
      <c r="G2895" s="866"/>
      <c r="H2895" s="840">
        <f t="shared" si="90"/>
        <v>0</v>
      </c>
      <c r="I2895" s="840">
        <f t="shared" si="91"/>
        <v>0</v>
      </c>
    </row>
    <row r="2896" spans="1:9" hidden="1">
      <c r="A2896" s="1079"/>
      <c r="B2896" s="475"/>
      <c r="C2896" s="916"/>
      <c r="D2896" s="916"/>
      <c r="E2896" s="916"/>
      <c r="F2896" s="865"/>
      <c r="G2896" s="866"/>
      <c r="H2896" s="840">
        <f t="shared" si="90"/>
        <v>0</v>
      </c>
      <c r="I2896" s="840">
        <f t="shared" si="91"/>
        <v>0</v>
      </c>
    </row>
    <row r="2897" spans="1:9" hidden="1">
      <c r="A2897" s="1079"/>
      <c r="B2897" s="475"/>
      <c r="C2897" s="916"/>
      <c r="D2897" s="916"/>
      <c r="E2897" s="916"/>
      <c r="F2897" s="865"/>
      <c r="G2897" s="866"/>
      <c r="H2897" s="840">
        <f t="shared" si="90"/>
        <v>0</v>
      </c>
      <c r="I2897" s="840">
        <f t="shared" si="91"/>
        <v>0</v>
      </c>
    </row>
    <row r="2898" spans="1:9" hidden="1">
      <c r="A2898" s="1079"/>
      <c r="B2898" s="475"/>
      <c r="C2898" s="916"/>
      <c r="D2898" s="916"/>
      <c r="E2898" s="905"/>
      <c r="F2898" s="865"/>
      <c r="G2898" s="866"/>
      <c r="H2898" s="840">
        <f t="shared" si="90"/>
        <v>0</v>
      </c>
      <c r="I2898" s="840">
        <f t="shared" si="91"/>
        <v>0</v>
      </c>
    </row>
    <row r="2899" spans="1:9" hidden="1">
      <c r="A2899" s="1079"/>
      <c r="B2899" s="475"/>
      <c r="C2899" s="916"/>
      <c r="D2899" s="916"/>
      <c r="E2899" s="905"/>
      <c r="F2899" s="865"/>
      <c r="G2899" s="866"/>
      <c r="H2899" s="840">
        <f t="shared" si="90"/>
        <v>0</v>
      </c>
      <c r="I2899" s="840">
        <f t="shared" si="91"/>
        <v>0</v>
      </c>
    </row>
    <row r="2900" spans="1:9" hidden="1">
      <c r="A2900" s="1079"/>
      <c r="B2900" s="475"/>
      <c r="C2900" s="916"/>
      <c r="D2900" s="916"/>
      <c r="E2900" s="905"/>
      <c r="F2900" s="865"/>
      <c r="G2900" s="866"/>
      <c r="H2900" s="840">
        <f t="shared" si="90"/>
        <v>0</v>
      </c>
      <c r="I2900" s="840">
        <f t="shared" si="91"/>
        <v>0</v>
      </c>
    </row>
    <row r="2901" spans="1:9" hidden="1">
      <c r="A2901" s="1079"/>
      <c r="B2901" s="475"/>
      <c r="C2901" s="916"/>
      <c r="D2901" s="916"/>
      <c r="E2901" s="905"/>
      <c r="F2901" s="865"/>
      <c r="G2901" s="866"/>
      <c r="H2901" s="840">
        <f t="shared" si="90"/>
        <v>0</v>
      </c>
      <c r="I2901" s="840">
        <f t="shared" si="91"/>
        <v>0</v>
      </c>
    </row>
    <row r="2902" spans="1:9" hidden="1">
      <c r="A2902" s="1079"/>
      <c r="B2902" s="475"/>
      <c r="C2902" s="916"/>
      <c r="D2902" s="916"/>
      <c r="E2902" s="905"/>
      <c r="F2902" s="865"/>
      <c r="G2902" s="866"/>
      <c r="H2902" s="840">
        <f t="shared" si="90"/>
        <v>0</v>
      </c>
      <c r="I2902" s="840">
        <f t="shared" si="91"/>
        <v>0</v>
      </c>
    </row>
    <row r="2903" spans="1:9" hidden="1">
      <c r="A2903" s="1079"/>
      <c r="B2903" s="475"/>
      <c r="C2903" s="916"/>
      <c r="D2903" s="916"/>
      <c r="E2903" s="905"/>
      <c r="F2903" s="865"/>
      <c r="G2903" s="866"/>
      <c r="H2903" s="840">
        <f t="shared" si="90"/>
        <v>0</v>
      </c>
      <c r="I2903" s="840">
        <f t="shared" si="91"/>
        <v>0</v>
      </c>
    </row>
    <row r="2904" spans="1:9" hidden="1">
      <c r="A2904" s="1079"/>
      <c r="B2904" s="475"/>
      <c r="C2904" s="916"/>
      <c r="D2904" s="916"/>
      <c r="E2904" s="905"/>
      <c r="F2904" s="865"/>
      <c r="G2904" s="866"/>
      <c r="H2904" s="840">
        <f t="shared" si="90"/>
        <v>0</v>
      </c>
      <c r="I2904" s="840">
        <f t="shared" si="91"/>
        <v>0</v>
      </c>
    </row>
    <row r="2905" spans="1:9" hidden="1">
      <c r="A2905" s="1079"/>
      <c r="B2905" s="475"/>
      <c r="C2905" s="916"/>
      <c r="D2905" s="916"/>
      <c r="E2905" s="905"/>
      <c r="F2905" s="865"/>
      <c r="G2905" s="866"/>
      <c r="H2905" s="840">
        <f t="shared" si="90"/>
        <v>0</v>
      </c>
      <c r="I2905" s="840">
        <f t="shared" si="91"/>
        <v>0</v>
      </c>
    </row>
    <row r="2906" spans="1:9" hidden="1">
      <c r="A2906" s="1079"/>
      <c r="B2906" s="475"/>
      <c r="C2906" s="916"/>
      <c r="D2906" s="916"/>
      <c r="E2906" s="905"/>
      <c r="F2906" s="865"/>
      <c r="G2906" s="866"/>
      <c r="H2906" s="840">
        <f t="shared" si="90"/>
        <v>0</v>
      </c>
      <c r="I2906" s="840">
        <f t="shared" si="91"/>
        <v>0</v>
      </c>
    </row>
    <row r="2907" spans="1:9" hidden="1">
      <c r="A2907" s="1079"/>
      <c r="B2907" s="475"/>
      <c r="C2907" s="916"/>
      <c r="D2907" s="916"/>
      <c r="E2907" s="905"/>
      <c r="F2907" s="865"/>
      <c r="G2907" s="866"/>
      <c r="H2907" s="840">
        <f t="shared" si="90"/>
        <v>0</v>
      </c>
      <c r="I2907" s="840">
        <f t="shared" si="91"/>
        <v>0</v>
      </c>
    </row>
    <row r="2908" spans="1:9" hidden="1">
      <c r="A2908" s="1079"/>
      <c r="B2908" s="475"/>
      <c r="C2908" s="916"/>
      <c r="D2908" s="916"/>
      <c r="E2908" s="905"/>
      <c r="F2908" s="865"/>
      <c r="G2908" s="866"/>
      <c r="H2908" s="840">
        <f t="shared" si="90"/>
        <v>0</v>
      </c>
      <c r="I2908" s="840">
        <f t="shared" si="91"/>
        <v>0</v>
      </c>
    </row>
    <row r="2909" spans="1:9" hidden="1">
      <c r="A2909" s="1079"/>
      <c r="B2909" s="475"/>
      <c r="C2909" s="916"/>
      <c r="D2909" s="916"/>
      <c r="E2909" s="905"/>
      <c r="F2909" s="865"/>
      <c r="G2909" s="866"/>
      <c r="H2909" s="840">
        <f t="shared" si="90"/>
        <v>0</v>
      </c>
      <c r="I2909" s="840">
        <f t="shared" si="91"/>
        <v>0</v>
      </c>
    </row>
    <row r="2910" spans="1:9" hidden="1">
      <c r="A2910" s="1079"/>
      <c r="B2910" s="475"/>
      <c r="C2910" s="916"/>
      <c r="D2910" s="916"/>
      <c r="E2910" s="905"/>
      <c r="F2910" s="865"/>
      <c r="G2910" s="866"/>
      <c r="H2910" s="840">
        <f t="shared" si="90"/>
        <v>0</v>
      </c>
      <c r="I2910" s="840">
        <f t="shared" si="91"/>
        <v>0</v>
      </c>
    </row>
    <row r="2911" spans="1:9" hidden="1">
      <c r="A2911" s="1079"/>
      <c r="B2911" s="475"/>
      <c r="C2911" s="916"/>
      <c r="D2911" s="916"/>
      <c r="E2911" s="905"/>
      <c r="F2911" s="865"/>
      <c r="G2911" s="866"/>
      <c r="H2911" s="840">
        <f t="shared" si="90"/>
        <v>0</v>
      </c>
      <c r="I2911" s="840">
        <f t="shared" si="91"/>
        <v>0</v>
      </c>
    </row>
    <row r="2912" spans="1:9" hidden="1">
      <c r="A2912" s="1079"/>
      <c r="B2912" s="475"/>
      <c r="C2912" s="916"/>
      <c r="D2912" s="916"/>
      <c r="E2912" s="905"/>
      <c r="F2912" s="865"/>
      <c r="G2912" s="866"/>
      <c r="H2912" s="840">
        <f t="shared" si="90"/>
        <v>0</v>
      </c>
      <c r="I2912" s="840">
        <f t="shared" si="91"/>
        <v>0</v>
      </c>
    </row>
    <row r="2913" spans="1:9" hidden="1">
      <c r="A2913" s="1079"/>
      <c r="B2913" s="475"/>
      <c r="C2913" s="916"/>
      <c r="D2913" s="916"/>
      <c r="E2913" s="905"/>
      <c r="F2913" s="865"/>
      <c r="G2913" s="866"/>
      <c r="H2913" s="840">
        <f t="shared" si="90"/>
        <v>0</v>
      </c>
      <c r="I2913" s="840">
        <f t="shared" si="91"/>
        <v>0</v>
      </c>
    </row>
    <row r="2914" spans="1:9" hidden="1">
      <c r="A2914" s="1079"/>
      <c r="B2914" s="475"/>
      <c r="C2914" s="916"/>
      <c r="D2914" s="916"/>
      <c r="E2914" s="905"/>
      <c r="F2914" s="865"/>
      <c r="G2914" s="866"/>
      <c r="H2914" s="840">
        <f t="shared" si="90"/>
        <v>0</v>
      </c>
      <c r="I2914" s="840">
        <f t="shared" si="91"/>
        <v>0</v>
      </c>
    </row>
    <row r="2915" spans="1:9" hidden="1">
      <c r="A2915" s="1079"/>
      <c r="B2915" s="475"/>
      <c r="C2915" s="916"/>
      <c r="D2915" s="916"/>
      <c r="E2915" s="905"/>
      <c r="F2915" s="865"/>
      <c r="G2915" s="866"/>
      <c r="H2915" s="840">
        <f t="shared" si="90"/>
        <v>0</v>
      </c>
      <c r="I2915" s="840">
        <f t="shared" si="91"/>
        <v>0</v>
      </c>
    </row>
    <row r="2916" spans="1:9" hidden="1">
      <c r="A2916" s="1079"/>
      <c r="B2916" s="475"/>
      <c r="C2916" s="916"/>
      <c r="D2916" s="916"/>
      <c r="E2916" s="905"/>
      <c r="F2916" s="865"/>
      <c r="G2916" s="866"/>
      <c r="H2916" s="840">
        <f t="shared" si="90"/>
        <v>0</v>
      </c>
      <c r="I2916" s="840">
        <f t="shared" si="91"/>
        <v>0</v>
      </c>
    </row>
    <row r="2917" spans="1:9" hidden="1">
      <c r="A2917" s="1079"/>
      <c r="B2917" s="475"/>
      <c r="C2917" s="916"/>
      <c r="D2917" s="916"/>
      <c r="E2917" s="905"/>
      <c r="F2917" s="865"/>
      <c r="G2917" s="866"/>
      <c r="H2917" s="840">
        <f t="shared" si="90"/>
        <v>0</v>
      </c>
      <c r="I2917" s="840">
        <f t="shared" si="91"/>
        <v>0</v>
      </c>
    </row>
    <row r="2918" spans="1:9" hidden="1">
      <c r="A2918" s="1079"/>
      <c r="B2918" s="475"/>
      <c r="C2918" s="916"/>
      <c r="D2918" s="916"/>
      <c r="E2918" s="905"/>
      <c r="F2918" s="865"/>
      <c r="G2918" s="866"/>
      <c r="H2918" s="840">
        <f t="shared" si="90"/>
        <v>0</v>
      </c>
      <c r="I2918" s="840">
        <f t="shared" si="91"/>
        <v>0</v>
      </c>
    </row>
    <row r="2919" spans="1:9" hidden="1">
      <c r="A2919" s="1079"/>
      <c r="B2919" s="475"/>
      <c r="C2919" s="916"/>
      <c r="D2919" s="916"/>
      <c r="E2919" s="905"/>
      <c r="F2919" s="865"/>
      <c r="G2919" s="866"/>
      <c r="H2919" s="840">
        <f t="shared" si="90"/>
        <v>0</v>
      </c>
      <c r="I2919" s="840">
        <f t="shared" si="91"/>
        <v>0</v>
      </c>
    </row>
    <row r="2920" spans="1:9" hidden="1">
      <c r="A2920" s="1079"/>
      <c r="B2920" s="475"/>
      <c r="C2920" s="916"/>
      <c r="D2920" s="916"/>
      <c r="E2920" s="905"/>
      <c r="F2920" s="865"/>
      <c r="G2920" s="866"/>
      <c r="H2920" s="840">
        <f t="shared" si="90"/>
        <v>0</v>
      </c>
      <c r="I2920" s="840">
        <f t="shared" si="91"/>
        <v>0</v>
      </c>
    </row>
    <row r="2921" spans="1:9" hidden="1">
      <c r="A2921" s="1079"/>
      <c r="B2921" s="475"/>
      <c r="C2921" s="916"/>
      <c r="D2921" s="916"/>
      <c r="E2921" s="905"/>
      <c r="F2921" s="865"/>
      <c r="G2921" s="866"/>
      <c r="H2921" s="840">
        <f t="shared" si="90"/>
        <v>0</v>
      </c>
      <c r="I2921" s="840">
        <f t="shared" si="91"/>
        <v>0</v>
      </c>
    </row>
    <row r="2922" spans="1:9">
      <c r="A2922" s="1148"/>
      <c r="B2922" s="461" t="s">
        <v>253</v>
      </c>
      <c r="C2922" s="919">
        <f>SUM(C2888:C2921)</f>
        <v>81000</v>
      </c>
      <c r="D2922" s="919">
        <f>SUM(D2888:D2921)</f>
        <v>55000</v>
      </c>
      <c r="E2922" s="919">
        <f>SUM(E2888:E2921)</f>
        <v>26000</v>
      </c>
      <c r="F2922" s="865"/>
      <c r="G2922" s="866"/>
      <c r="H2922" s="840">
        <f t="shared" si="90"/>
        <v>0</v>
      </c>
      <c r="I2922" s="840">
        <f t="shared" si="91"/>
        <v>162000</v>
      </c>
    </row>
    <row r="2923" spans="1:9" ht="112.5">
      <c r="A2923" s="1078" t="s">
        <v>49</v>
      </c>
      <c r="B2923" s="475" t="s">
        <v>953</v>
      </c>
      <c r="C2923" s="530">
        <v>150000</v>
      </c>
      <c r="D2923" s="530"/>
      <c r="E2923" s="905">
        <f>100000+50000</f>
        <v>150000</v>
      </c>
      <c r="F2923" s="865"/>
      <c r="G2923" s="866"/>
      <c r="H2923" s="840">
        <f t="shared" si="90"/>
        <v>0</v>
      </c>
      <c r="I2923" s="840">
        <f t="shared" si="91"/>
        <v>300000</v>
      </c>
    </row>
    <row r="2924" spans="1:9" ht="37.5">
      <c r="A2924" s="1079"/>
      <c r="B2924" s="475" t="s">
        <v>1455</v>
      </c>
      <c r="C2924" s="530">
        <v>20000</v>
      </c>
      <c r="D2924" s="530">
        <v>20000</v>
      </c>
      <c r="E2924" s="905"/>
      <c r="F2924" s="865"/>
      <c r="G2924" s="866"/>
      <c r="H2924" s="840">
        <f t="shared" si="90"/>
        <v>0</v>
      </c>
      <c r="I2924" s="840">
        <f t="shared" si="91"/>
        <v>40000</v>
      </c>
    </row>
    <row r="2925" spans="1:9" ht="37.5">
      <c r="A2925" s="1079"/>
      <c r="B2925" s="475" t="s">
        <v>1922</v>
      </c>
      <c r="C2925" s="911">
        <v>75000</v>
      </c>
      <c r="D2925" s="911">
        <v>75000</v>
      </c>
      <c r="E2925" s="911"/>
      <c r="F2925" s="841"/>
      <c r="G2925" s="841"/>
      <c r="H2925" s="840">
        <f t="shared" si="90"/>
        <v>0</v>
      </c>
      <c r="I2925" s="840">
        <f t="shared" si="91"/>
        <v>150000</v>
      </c>
    </row>
    <row r="2926" spans="1:9" ht="56.25">
      <c r="A2926" s="1079"/>
      <c r="B2926" s="475" t="s">
        <v>2174</v>
      </c>
      <c r="C2926" s="908">
        <v>30000</v>
      </c>
      <c r="D2926" s="908">
        <v>30000</v>
      </c>
      <c r="E2926" s="905"/>
      <c r="F2926" s="865"/>
      <c r="G2926" s="866"/>
      <c r="H2926" s="840">
        <f t="shared" si="90"/>
        <v>0</v>
      </c>
      <c r="I2926" s="840">
        <f t="shared" si="91"/>
        <v>60000</v>
      </c>
    </row>
    <row r="2927" spans="1:9" ht="37.5">
      <c r="A2927" s="1079"/>
      <c r="B2927" s="475" t="s">
        <v>2175</v>
      </c>
      <c r="C2927" s="908">
        <v>20000</v>
      </c>
      <c r="D2927" s="908">
        <v>20000</v>
      </c>
      <c r="E2927" s="905"/>
      <c r="F2927" s="865"/>
      <c r="G2927" s="866"/>
      <c r="H2927" s="840">
        <f t="shared" si="90"/>
        <v>0</v>
      </c>
      <c r="I2927" s="840">
        <f t="shared" si="91"/>
        <v>40000</v>
      </c>
    </row>
    <row r="2928" spans="1:9" ht="56.25">
      <c r="A2928" s="1079"/>
      <c r="B2928" s="475" t="s">
        <v>2176</v>
      </c>
      <c r="C2928" s="908">
        <v>10000</v>
      </c>
      <c r="D2928" s="908">
        <v>10000</v>
      </c>
      <c r="E2928" s="905"/>
      <c r="F2928" s="865"/>
      <c r="G2928" s="866"/>
      <c r="H2928" s="840">
        <f t="shared" si="90"/>
        <v>0</v>
      </c>
      <c r="I2928" s="840">
        <f t="shared" si="91"/>
        <v>20000</v>
      </c>
    </row>
    <row r="2929" spans="1:9" ht="93.75">
      <c r="A2929" s="1079"/>
      <c r="B2929" s="535" t="s">
        <v>2177</v>
      </c>
      <c r="C2929" s="908">
        <v>20000</v>
      </c>
      <c r="D2929" s="908">
        <v>20000</v>
      </c>
      <c r="E2929" s="905"/>
      <c r="F2929" s="865"/>
      <c r="G2929" s="866"/>
      <c r="H2929" s="840">
        <f t="shared" si="90"/>
        <v>0</v>
      </c>
      <c r="I2929" s="840">
        <f t="shared" si="91"/>
        <v>40000</v>
      </c>
    </row>
    <row r="2930" spans="1:9" ht="56.25">
      <c r="A2930" s="1079"/>
      <c r="B2930" s="475" t="s">
        <v>2178</v>
      </c>
      <c r="C2930" s="908">
        <v>10000</v>
      </c>
      <c r="D2930" s="908">
        <v>10000</v>
      </c>
      <c r="E2930" s="905"/>
      <c r="F2930" s="865"/>
      <c r="G2930" s="866"/>
      <c r="H2930" s="840">
        <f t="shared" si="90"/>
        <v>0</v>
      </c>
      <c r="I2930" s="840">
        <f t="shared" si="91"/>
        <v>20000</v>
      </c>
    </row>
    <row r="2931" spans="1:9" ht="75">
      <c r="A2931" s="1079"/>
      <c r="B2931" s="475" t="s">
        <v>2489</v>
      </c>
      <c r="C2931" s="908">
        <v>15000</v>
      </c>
      <c r="D2931" s="908">
        <v>15000</v>
      </c>
      <c r="E2931" s="905"/>
      <c r="F2931" s="865"/>
      <c r="G2931" s="866"/>
      <c r="H2931" s="840">
        <f t="shared" si="90"/>
        <v>0</v>
      </c>
      <c r="I2931" s="840">
        <f t="shared" si="91"/>
        <v>30000</v>
      </c>
    </row>
    <row r="2932" spans="1:9" ht="56.25">
      <c r="A2932" s="1079"/>
      <c r="B2932" s="475" t="s">
        <v>2905</v>
      </c>
      <c r="C2932" s="908">
        <v>5000</v>
      </c>
      <c r="D2932" s="908">
        <v>5000</v>
      </c>
      <c r="E2932" s="905"/>
      <c r="F2932" s="865"/>
      <c r="G2932" s="866"/>
      <c r="H2932" s="840">
        <f t="shared" si="90"/>
        <v>0</v>
      </c>
      <c r="I2932" s="840">
        <f t="shared" si="91"/>
        <v>10000</v>
      </c>
    </row>
    <row r="2933" spans="1:9" ht="56.25">
      <c r="A2933" s="1079"/>
      <c r="B2933" s="475" t="s">
        <v>2906</v>
      </c>
      <c r="C2933" s="908">
        <v>50000</v>
      </c>
      <c r="D2933" s="908">
        <v>50000</v>
      </c>
      <c r="E2933" s="905"/>
      <c r="F2933" s="865"/>
      <c r="G2933" s="866"/>
      <c r="H2933" s="840">
        <f t="shared" si="90"/>
        <v>0</v>
      </c>
      <c r="I2933" s="840">
        <f t="shared" si="91"/>
        <v>100000</v>
      </c>
    </row>
    <row r="2934" spans="1:9" ht="37.5">
      <c r="A2934" s="1079"/>
      <c r="B2934" s="475" t="s">
        <v>2907</v>
      </c>
      <c r="C2934" s="908">
        <v>15000</v>
      </c>
      <c r="D2934" s="908">
        <v>15000</v>
      </c>
      <c r="E2934" s="905"/>
      <c r="F2934" s="865"/>
      <c r="G2934" s="866"/>
      <c r="H2934" s="840">
        <f t="shared" si="90"/>
        <v>0</v>
      </c>
      <c r="I2934" s="840">
        <f t="shared" si="91"/>
        <v>30000</v>
      </c>
    </row>
    <row r="2935" spans="1:9" ht="93.75">
      <c r="A2935" s="1079"/>
      <c r="B2935" s="475" t="s">
        <v>2908</v>
      </c>
      <c r="C2935" s="908">
        <v>10000</v>
      </c>
      <c r="D2935" s="908">
        <v>10000</v>
      </c>
      <c r="E2935" s="905"/>
      <c r="F2935" s="865"/>
      <c r="G2935" s="866"/>
      <c r="H2935" s="840">
        <f t="shared" si="90"/>
        <v>0</v>
      </c>
      <c r="I2935" s="840">
        <f t="shared" si="91"/>
        <v>20000</v>
      </c>
    </row>
    <row r="2936" spans="1:9" hidden="1">
      <c r="A2936" s="1079"/>
      <c r="B2936" s="475"/>
      <c r="C2936" s="916"/>
      <c r="D2936" s="916"/>
      <c r="E2936" s="905"/>
      <c r="F2936" s="865"/>
      <c r="G2936" s="866"/>
      <c r="H2936" s="840">
        <f t="shared" si="90"/>
        <v>0</v>
      </c>
      <c r="I2936" s="840">
        <f t="shared" si="91"/>
        <v>0</v>
      </c>
    </row>
    <row r="2937" spans="1:9" hidden="1">
      <c r="A2937" s="1079"/>
      <c r="B2937" s="475"/>
      <c r="C2937" s="916"/>
      <c r="D2937" s="916"/>
      <c r="E2937" s="905"/>
      <c r="F2937" s="865"/>
      <c r="G2937" s="866"/>
      <c r="H2937" s="840">
        <f t="shared" si="90"/>
        <v>0</v>
      </c>
      <c r="I2937" s="840">
        <f t="shared" si="91"/>
        <v>0</v>
      </c>
    </row>
    <row r="2938" spans="1:9" hidden="1">
      <c r="A2938" s="1079"/>
      <c r="B2938" s="475"/>
      <c r="C2938" s="916"/>
      <c r="D2938" s="916"/>
      <c r="E2938" s="905"/>
      <c r="F2938" s="865"/>
      <c r="G2938" s="866"/>
      <c r="H2938" s="840">
        <f t="shared" si="90"/>
        <v>0</v>
      </c>
      <c r="I2938" s="840">
        <f t="shared" si="91"/>
        <v>0</v>
      </c>
    </row>
    <row r="2939" spans="1:9" hidden="1">
      <c r="A2939" s="1079"/>
      <c r="B2939" s="475"/>
      <c r="C2939" s="916"/>
      <c r="D2939" s="916"/>
      <c r="E2939" s="905"/>
      <c r="F2939" s="865"/>
      <c r="G2939" s="866"/>
      <c r="H2939" s="840">
        <f t="shared" si="90"/>
        <v>0</v>
      </c>
      <c r="I2939" s="840">
        <f t="shared" si="91"/>
        <v>0</v>
      </c>
    </row>
    <row r="2940" spans="1:9" hidden="1">
      <c r="A2940" s="1079"/>
      <c r="B2940" s="475"/>
      <c r="C2940" s="916"/>
      <c r="D2940" s="916"/>
      <c r="E2940" s="905"/>
      <c r="F2940" s="865"/>
      <c r="G2940" s="866"/>
      <c r="H2940" s="840">
        <f t="shared" si="90"/>
        <v>0</v>
      </c>
      <c r="I2940" s="840">
        <f t="shared" si="91"/>
        <v>0</v>
      </c>
    </row>
    <row r="2941" spans="1:9" hidden="1">
      <c r="A2941" s="1079"/>
      <c r="B2941" s="475"/>
      <c r="C2941" s="916"/>
      <c r="D2941" s="916"/>
      <c r="E2941" s="905"/>
      <c r="F2941" s="865"/>
      <c r="G2941" s="866"/>
      <c r="H2941" s="840">
        <f t="shared" si="90"/>
        <v>0</v>
      </c>
      <c r="I2941" s="840">
        <f t="shared" si="91"/>
        <v>0</v>
      </c>
    </row>
    <row r="2942" spans="1:9" hidden="1">
      <c r="A2942" s="1079"/>
      <c r="B2942" s="475"/>
      <c r="C2942" s="916"/>
      <c r="D2942" s="916"/>
      <c r="E2942" s="905"/>
      <c r="F2942" s="865"/>
      <c r="G2942" s="866"/>
      <c r="H2942" s="840">
        <f t="shared" si="90"/>
        <v>0</v>
      </c>
      <c r="I2942" s="840">
        <f t="shared" si="91"/>
        <v>0</v>
      </c>
    </row>
    <row r="2943" spans="1:9" hidden="1">
      <c r="A2943" s="1079"/>
      <c r="B2943" s="475"/>
      <c r="C2943" s="916"/>
      <c r="D2943" s="916"/>
      <c r="E2943" s="905"/>
      <c r="F2943" s="865"/>
      <c r="G2943" s="866"/>
      <c r="H2943" s="840">
        <f t="shared" si="90"/>
        <v>0</v>
      </c>
      <c r="I2943" s="840">
        <f t="shared" si="91"/>
        <v>0</v>
      </c>
    </row>
    <row r="2944" spans="1:9" hidden="1">
      <c r="A2944" s="1079"/>
      <c r="B2944" s="475"/>
      <c r="C2944" s="916"/>
      <c r="D2944" s="916"/>
      <c r="E2944" s="905"/>
      <c r="F2944" s="865"/>
      <c r="G2944" s="866"/>
      <c r="H2944" s="840">
        <f t="shared" si="90"/>
        <v>0</v>
      </c>
      <c r="I2944" s="840">
        <f t="shared" si="91"/>
        <v>0</v>
      </c>
    </row>
    <row r="2945" spans="1:9" hidden="1">
      <c r="A2945" s="1079"/>
      <c r="B2945" s="475"/>
      <c r="C2945" s="916"/>
      <c r="D2945" s="916"/>
      <c r="E2945" s="905"/>
      <c r="F2945" s="865"/>
      <c r="G2945" s="866"/>
      <c r="H2945" s="840">
        <f t="shared" si="90"/>
        <v>0</v>
      </c>
      <c r="I2945" s="840">
        <f t="shared" si="91"/>
        <v>0</v>
      </c>
    </row>
    <row r="2946" spans="1:9" hidden="1">
      <c r="A2946" s="1079"/>
      <c r="B2946" s="475"/>
      <c r="C2946" s="916"/>
      <c r="D2946" s="916"/>
      <c r="E2946" s="905"/>
      <c r="F2946" s="865"/>
      <c r="G2946" s="866"/>
      <c r="H2946" s="840">
        <f t="shared" si="90"/>
        <v>0</v>
      </c>
      <c r="I2946" s="840">
        <f t="shared" si="91"/>
        <v>0</v>
      </c>
    </row>
    <row r="2947" spans="1:9" hidden="1">
      <c r="A2947" s="1079"/>
      <c r="B2947" s="475"/>
      <c r="C2947" s="916"/>
      <c r="D2947" s="916"/>
      <c r="E2947" s="905"/>
      <c r="F2947" s="865"/>
      <c r="G2947" s="866"/>
      <c r="H2947" s="840">
        <f t="shared" si="90"/>
        <v>0</v>
      </c>
      <c r="I2947" s="840">
        <f t="shared" si="91"/>
        <v>0</v>
      </c>
    </row>
    <row r="2948" spans="1:9" hidden="1">
      <c r="A2948" s="1079"/>
      <c r="B2948" s="475"/>
      <c r="C2948" s="916"/>
      <c r="D2948" s="916"/>
      <c r="E2948" s="905"/>
      <c r="F2948" s="865"/>
      <c r="G2948" s="866"/>
      <c r="H2948" s="840">
        <f t="shared" si="90"/>
        <v>0</v>
      </c>
      <c r="I2948" s="840">
        <f t="shared" si="91"/>
        <v>0</v>
      </c>
    </row>
    <row r="2949" spans="1:9" hidden="1">
      <c r="A2949" s="1079"/>
      <c r="B2949" s="475"/>
      <c r="C2949" s="916"/>
      <c r="D2949" s="916"/>
      <c r="E2949" s="905"/>
      <c r="F2949" s="865"/>
      <c r="G2949" s="866"/>
      <c r="H2949" s="840">
        <f t="shared" si="90"/>
        <v>0</v>
      </c>
      <c r="I2949" s="840">
        <f t="shared" si="91"/>
        <v>0</v>
      </c>
    </row>
    <row r="2950" spans="1:9" hidden="1">
      <c r="A2950" s="1079"/>
      <c r="B2950" s="475"/>
      <c r="C2950" s="916"/>
      <c r="D2950" s="916"/>
      <c r="E2950" s="905"/>
      <c r="F2950" s="865"/>
      <c r="G2950" s="866"/>
      <c r="H2950" s="840">
        <f t="shared" si="90"/>
        <v>0</v>
      </c>
      <c r="I2950" s="840">
        <f t="shared" si="91"/>
        <v>0</v>
      </c>
    </row>
    <row r="2951" spans="1:9" hidden="1">
      <c r="A2951" s="1079"/>
      <c r="B2951" s="475"/>
      <c r="C2951" s="916"/>
      <c r="D2951" s="916"/>
      <c r="E2951" s="905"/>
      <c r="F2951" s="865"/>
      <c r="G2951" s="866"/>
      <c r="H2951" s="840">
        <f t="shared" si="90"/>
        <v>0</v>
      </c>
      <c r="I2951" s="840">
        <f t="shared" si="91"/>
        <v>0</v>
      </c>
    </row>
    <row r="2952" spans="1:9" hidden="1">
      <c r="A2952" s="1079"/>
      <c r="B2952" s="475"/>
      <c r="C2952" s="916"/>
      <c r="D2952" s="916"/>
      <c r="E2952" s="905"/>
      <c r="F2952" s="865"/>
      <c r="G2952" s="866"/>
      <c r="H2952" s="840">
        <f t="shared" si="90"/>
        <v>0</v>
      </c>
      <c r="I2952" s="840">
        <f t="shared" si="91"/>
        <v>0</v>
      </c>
    </row>
    <row r="2953" spans="1:9" hidden="1">
      <c r="A2953" s="1079"/>
      <c r="B2953" s="475"/>
      <c r="C2953" s="916"/>
      <c r="D2953" s="916"/>
      <c r="E2953" s="905"/>
      <c r="F2953" s="865"/>
      <c r="G2953" s="866"/>
      <c r="H2953" s="840">
        <f t="shared" ref="H2953:H3016" si="92">E2953+D2953-C2953</f>
        <v>0</v>
      </c>
      <c r="I2953" s="840">
        <f t="shared" ref="I2953:I3016" si="93">SUM(C2953:E2953)</f>
        <v>0</v>
      </c>
    </row>
    <row r="2954" spans="1:9" hidden="1">
      <c r="A2954" s="1079"/>
      <c r="B2954" s="475"/>
      <c r="C2954" s="916"/>
      <c r="D2954" s="916"/>
      <c r="E2954" s="905"/>
      <c r="F2954" s="865"/>
      <c r="G2954" s="866"/>
      <c r="H2954" s="840">
        <f t="shared" si="92"/>
        <v>0</v>
      </c>
      <c r="I2954" s="840">
        <f t="shared" si="93"/>
        <v>0</v>
      </c>
    </row>
    <row r="2955" spans="1:9" hidden="1">
      <c r="A2955" s="1079"/>
      <c r="B2955" s="475"/>
      <c r="C2955" s="916"/>
      <c r="D2955" s="916"/>
      <c r="E2955" s="905"/>
      <c r="F2955" s="865"/>
      <c r="G2955" s="866"/>
      <c r="H2955" s="840">
        <f t="shared" si="92"/>
        <v>0</v>
      </c>
      <c r="I2955" s="840">
        <f t="shared" si="93"/>
        <v>0</v>
      </c>
    </row>
    <row r="2956" spans="1:9" hidden="1">
      <c r="A2956" s="1079"/>
      <c r="B2956" s="475"/>
      <c r="C2956" s="916"/>
      <c r="D2956" s="916"/>
      <c r="E2956" s="905"/>
      <c r="F2956" s="865"/>
      <c r="G2956" s="866"/>
      <c r="H2956" s="840">
        <f t="shared" si="92"/>
        <v>0</v>
      </c>
      <c r="I2956" s="840">
        <f t="shared" si="93"/>
        <v>0</v>
      </c>
    </row>
    <row r="2957" spans="1:9">
      <c r="A2957" s="1148"/>
      <c r="B2957" s="461" t="s">
        <v>253</v>
      </c>
      <c r="C2957" s="919">
        <f>SUM(C2923:C2956)</f>
        <v>430000</v>
      </c>
      <c r="D2957" s="919">
        <f>SUM(D2923:D2956)</f>
        <v>280000</v>
      </c>
      <c r="E2957" s="919">
        <f>SUM(E2923:E2956)</f>
        <v>150000</v>
      </c>
      <c r="F2957" s="865"/>
      <c r="G2957" s="866"/>
      <c r="H2957" s="840">
        <f t="shared" si="92"/>
        <v>0</v>
      </c>
      <c r="I2957" s="840">
        <f t="shared" si="93"/>
        <v>860000</v>
      </c>
    </row>
    <row r="2958" spans="1:9" ht="112.5">
      <c r="A2958" s="1078" t="s">
        <v>50</v>
      </c>
      <c r="B2958" s="475" t="s">
        <v>953</v>
      </c>
      <c r="C2958" s="530">
        <v>30000</v>
      </c>
      <c r="D2958" s="530"/>
      <c r="E2958" s="905">
        <v>30000</v>
      </c>
      <c r="F2958" s="865"/>
      <c r="G2958" s="866"/>
      <c r="H2958" s="840">
        <f t="shared" si="92"/>
        <v>0</v>
      </c>
      <c r="I2958" s="840">
        <f t="shared" si="93"/>
        <v>60000</v>
      </c>
    </row>
    <row r="2959" spans="1:9" ht="93.75">
      <c r="A2959" s="1079"/>
      <c r="B2959" s="475" t="s">
        <v>1456</v>
      </c>
      <c r="C2959" s="530">
        <v>100000</v>
      </c>
      <c r="D2959" s="530">
        <v>100000</v>
      </c>
      <c r="E2959" s="905"/>
      <c r="F2959" s="865"/>
      <c r="G2959" s="866"/>
      <c r="H2959" s="840">
        <f t="shared" si="92"/>
        <v>0</v>
      </c>
      <c r="I2959" s="840">
        <f t="shared" si="93"/>
        <v>200000</v>
      </c>
    </row>
    <row r="2960" spans="1:9" ht="75">
      <c r="A2960" s="1079"/>
      <c r="B2960" s="475" t="s">
        <v>2179</v>
      </c>
      <c r="C2960" s="908">
        <v>55000</v>
      </c>
      <c r="D2960" s="908">
        <v>55000</v>
      </c>
      <c r="E2960" s="905"/>
      <c r="F2960" s="865"/>
      <c r="G2960" s="866"/>
      <c r="H2960" s="840">
        <f t="shared" si="92"/>
        <v>0</v>
      </c>
      <c r="I2960" s="840">
        <f t="shared" si="93"/>
        <v>110000</v>
      </c>
    </row>
    <row r="2961" spans="1:9" ht="75">
      <c r="A2961" s="1079"/>
      <c r="B2961" s="475" t="s">
        <v>2620</v>
      </c>
      <c r="C2961" s="905">
        <v>15000</v>
      </c>
      <c r="D2961" s="905">
        <v>15000</v>
      </c>
      <c r="E2961" s="905"/>
      <c r="F2961" s="865"/>
      <c r="G2961" s="866"/>
      <c r="H2961" s="840">
        <f t="shared" si="92"/>
        <v>0</v>
      </c>
      <c r="I2961" s="840">
        <f t="shared" si="93"/>
        <v>30000</v>
      </c>
    </row>
    <row r="2962" spans="1:9" ht="56.25">
      <c r="A2962" s="1079"/>
      <c r="B2962" s="475" t="s">
        <v>2621</v>
      </c>
      <c r="C2962" s="905">
        <v>10000</v>
      </c>
      <c r="D2962" s="905">
        <v>3950</v>
      </c>
      <c r="E2962" s="905">
        <v>6050</v>
      </c>
      <c r="F2962" s="865"/>
      <c r="G2962" s="866"/>
      <c r="H2962" s="840">
        <f t="shared" si="92"/>
        <v>0</v>
      </c>
      <c r="I2962" s="840">
        <f t="shared" si="93"/>
        <v>20000</v>
      </c>
    </row>
    <row r="2963" spans="1:9" ht="56.25">
      <c r="A2963" s="1079"/>
      <c r="B2963" s="475" t="s">
        <v>2909</v>
      </c>
      <c r="C2963" s="905">
        <v>25000</v>
      </c>
      <c r="D2963" s="905">
        <v>25000</v>
      </c>
      <c r="E2963" s="906"/>
      <c r="F2963" s="865"/>
      <c r="G2963" s="866"/>
      <c r="H2963" s="840">
        <f t="shared" si="92"/>
        <v>0</v>
      </c>
      <c r="I2963" s="840">
        <f t="shared" si="93"/>
        <v>50000</v>
      </c>
    </row>
    <row r="2964" spans="1:9" ht="37.5">
      <c r="A2964" s="1079"/>
      <c r="B2964" s="535" t="s">
        <v>2910</v>
      </c>
      <c r="C2964" s="915">
        <v>6040</v>
      </c>
      <c r="D2964" s="915"/>
      <c r="E2964" s="914">
        <v>6040</v>
      </c>
      <c r="F2964" s="865"/>
      <c r="G2964" s="866"/>
      <c r="H2964" s="840">
        <f t="shared" si="92"/>
        <v>0</v>
      </c>
      <c r="I2964" s="840">
        <f t="shared" si="93"/>
        <v>12080</v>
      </c>
    </row>
    <row r="2965" spans="1:9" hidden="1">
      <c r="A2965" s="1079"/>
      <c r="B2965" s="475"/>
      <c r="C2965" s="916"/>
      <c r="D2965" s="916"/>
      <c r="E2965" s="905"/>
      <c r="F2965" s="841"/>
      <c r="G2965" s="841"/>
      <c r="H2965" s="840">
        <f t="shared" si="92"/>
        <v>0</v>
      </c>
      <c r="I2965" s="840">
        <f t="shared" si="93"/>
        <v>0</v>
      </c>
    </row>
    <row r="2966" spans="1:9" hidden="1">
      <c r="A2966" s="1079"/>
      <c r="B2966" s="475"/>
      <c r="C2966" s="916"/>
      <c r="D2966" s="916"/>
      <c r="E2966" s="916"/>
      <c r="F2966" s="841"/>
      <c r="G2966" s="841"/>
      <c r="H2966" s="840">
        <f t="shared" si="92"/>
        <v>0</v>
      </c>
      <c r="I2966" s="840">
        <f t="shared" si="93"/>
        <v>0</v>
      </c>
    </row>
    <row r="2967" spans="1:9" hidden="1">
      <c r="A2967" s="1079"/>
      <c r="B2967" s="475"/>
      <c r="C2967" s="916"/>
      <c r="D2967" s="916"/>
      <c r="E2967" s="916"/>
      <c r="F2967" s="841"/>
      <c r="G2967" s="841"/>
      <c r="H2967" s="840">
        <f t="shared" si="92"/>
        <v>0</v>
      </c>
      <c r="I2967" s="840">
        <f t="shared" si="93"/>
        <v>0</v>
      </c>
    </row>
    <row r="2968" spans="1:9" hidden="1">
      <c r="A2968" s="1079"/>
      <c r="B2968" s="475"/>
      <c r="C2968" s="916"/>
      <c r="D2968" s="916"/>
      <c r="E2968" s="905"/>
      <c r="F2968" s="841"/>
      <c r="G2968" s="841"/>
      <c r="H2968" s="840">
        <f t="shared" si="92"/>
        <v>0</v>
      </c>
      <c r="I2968" s="840">
        <f t="shared" si="93"/>
        <v>0</v>
      </c>
    </row>
    <row r="2969" spans="1:9" hidden="1">
      <c r="A2969" s="1079"/>
      <c r="B2969" s="475"/>
      <c r="C2969" s="916"/>
      <c r="D2969" s="916"/>
      <c r="E2969" s="905"/>
      <c r="F2969" s="865"/>
      <c r="G2969" s="866"/>
      <c r="H2969" s="840">
        <f t="shared" si="92"/>
        <v>0</v>
      </c>
      <c r="I2969" s="840">
        <f t="shared" si="93"/>
        <v>0</v>
      </c>
    </row>
    <row r="2970" spans="1:9" hidden="1">
      <c r="A2970" s="1079"/>
      <c r="B2970" s="475"/>
      <c r="C2970" s="916"/>
      <c r="D2970" s="916"/>
      <c r="E2970" s="905"/>
      <c r="F2970" s="865"/>
      <c r="G2970" s="866"/>
      <c r="H2970" s="840">
        <f t="shared" si="92"/>
        <v>0</v>
      </c>
      <c r="I2970" s="840">
        <f t="shared" si="93"/>
        <v>0</v>
      </c>
    </row>
    <row r="2971" spans="1:9" hidden="1">
      <c r="A2971" s="1079"/>
      <c r="B2971" s="475"/>
      <c r="C2971" s="916"/>
      <c r="D2971" s="916"/>
      <c r="E2971" s="905"/>
      <c r="F2971" s="865"/>
      <c r="G2971" s="866"/>
      <c r="H2971" s="840">
        <f t="shared" si="92"/>
        <v>0</v>
      </c>
      <c r="I2971" s="840">
        <f t="shared" si="93"/>
        <v>0</v>
      </c>
    </row>
    <row r="2972" spans="1:9" hidden="1">
      <c r="A2972" s="1079"/>
      <c r="B2972" s="475"/>
      <c r="C2972" s="916"/>
      <c r="D2972" s="916"/>
      <c r="E2972" s="905"/>
      <c r="F2972" s="865"/>
      <c r="G2972" s="866"/>
      <c r="H2972" s="840">
        <f t="shared" si="92"/>
        <v>0</v>
      </c>
      <c r="I2972" s="840">
        <f t="shared" si="93"/>
        <v>0</v>
      </c>
    </row>
    <row r="2973" spans="1:9" hidden="1">
      <c r="A2973" s="1079"/>
      <c r="B2973" s="475"/>
      <c r="C2973" s="916"/>
      <c r="D2973" s="916"/>
      <c r="E2973" s="905"/>
      <c r="F2973" s="865"/>
      <c r="G2973" s="866"/>
      <c r="H2973" s="840">
        <f t="shared" si="92"/>
        <v>0</v>
      </c>
      <c r="I2973" s="840">
        <f t="shared" si="93"/>
        <v>0</v>
      </c>
    </row>
    <row r="2974" spans="1:9" hidden="1">
      <c r="A2974" s="1079"/>
      <c r="B2974" s="475"/>
      <c r="C2974" s="916"/>
      <c r="D2974" s="916"/>
      <c r="E2974" s="905"/>
      <c r="F2974" s="865"/>
      <c r="G2974" s="866"/>
      <c r="H2974" s="840">
        <f t="shared" si="92"/>
        <v>0</v>
      </c>
      <c r="I2974" s="840">
        <f t="shared" si="93"/>
        <v>0</v>
      </c>
    </row>
    <row r="2975" spans="1:9" hidden="1">
      <c r="A2975" s="1079"/>
      <c r="B2975" s="475"/>
      <c r="C2975" s="916"/>
      <c r="D2975" s="916"/>
      <c r="E2975" s="905"/>
      <c r="F2975" s="865"/>
      <c r="G2975" s="866"/>
      <c r="H2975" s="840">
        <f t="shared" si="92"/>
        <v>0</v>
      </c>
      <c r="I2975" s="840">
        <f t="shared" si="93"/>
        <v>0</v>
      </c>
    </row>
    <row r="2976" spans="1:9" hidden="1">
      <c r="A2976" s="1079"/>
      <c r="B2976" s="475"/>
      <c r="C2976" s="916"/>
      <c r="D2976" s="916"/>
      <c r="E2976" s="905"/>
      <c r="F2976" s="865"/>
      <c r="G2976" s="866"/>
      <c r="H2976" s="840">
        <f t="shared" si="92"/>
        <v>0</v>
      </c>
      <c r="I2976" s="840">
        <f t="shared" si="93"/>
        <v>0</v>
      </c>
    </row>
    <row r="2977" spans="1:9" hidden="1">
      <c r="A2977" s="1079"/>
      <c r="B2977" s="475"/>
      <c r="C2977" s="916"/>
      <c r="D2977" s="916"/>
      <c r="E2977" s="905"/>
      <c r="F2977" s="865"/>
      <c r="G2977" s="866"/>
      <c r="H2977" s="840">
        <f t="shared" si="92"/>
        <v>0</v>
      </c>
      <c r="I2977" s="840">
        <f t="shared" si="93"/>
        <v>0</v>
      </c>
    </row>
    <row r="2978" spans="1:9" hidden="1">
      <c r="A2978" s="1079"/>
      <c r="B2978" s="475"/>
      <c r="C2978" s="916"/>
      <c r="D2978" s="916"/>
      <c r="E2978" s="905"/>
      <c r="F2978" s="865"/>
      <c r="G2978" s="866"/>
      <c r="H2978" s="840">
        <f t="shared" si="92"/>
        <v>0</v>
      </c>
      <c r="I2978" s="840">
        <f t="shared" si="93"/>
        <v>0</v>
      </c>
    </row>
    <row r="2979" spans="1:9" hidden="1">
      <c r="A2979" s="1079"/>
      <c r="B2979" s="475"/>
      <c r="C2979" s="916"/>
      <c r="D2979" s="916"/>
      <c r="E2979" s="905"/>
      <c r="F2979" s="865"/>
      <c r="G2979" s="866"/>
      <c r="H2979" s="840">
        <f t="shared" si="92"/>
        <v>0</v>
      </c>
      <c r="I2979" s="840">
        <f t="shared" si="93"/>
        <v>0</v>
      </c>
    </row>
    <row r="2980" spans="1:9" hidden="1">
      <c r="A2980" s="1079"/>
      <c r="B2980" s="475"/>
      <c r="C2980" s="916"/>
      <c r="D2980" s="916"/>
      <c r="E2980" s="905"/>
      <c r="F2980" s="865"/>
      <c r="G2980" s="866"/>
      <c r="H2980" s="840">
        <f t="shared" si="92"/>
        <v>0</v>
      </c>
      <c r="I2980" s="840">
        <f t="shared" si="93"/>
        <v>0</v>
      </c>
    </row>
    <row r="2981" spans="1:9" hidden="1">
      <c r="A2981" s="1079"/>
      <c r="B2981" s="475"/>
      <c r="C2981" s="916"/>
      <c r="D2981" s="916"/>
      <c r="E2981" s="905"/>
      <c r="F2981" s="865"/>
      <c r="G2981" s="866"/>
      <c r="H2981" s="840">
        <f t="shared" si="92"/>
        <v>0</v>
      </c>
      <c r="I2981" s="840">
        <f t="shared" si="93"/>
        <v>0</v>
      </c>
    </row>
    <row r="2982" spans="1:9" hidden="1">
      <c r="A2982" s="1079"/>
      <c r="B2982" s="475"/>
      <c r="C2982" s="916"/>
      <c r="D2982" s="916"/>
      <c r="E2982" s="905"/>
      <c r="F2982" s="865"/>
      <c r="G2982" s="866"/>
      <c r="H2982" s="840">
        <f t="shared" si="92"/>
        <v>0</v>
      </c>
      <c r="I2982" s="840">
        <f t="shared" si="93"/>
        <v>0</v>
      </c>
    </row>
    <row r="2983" spans="1:9" hidden="1">
      <c r="A2983" s="1079"/>
      <c r="B2983" s="475"/>
      <c r="C2983" s="916"/>
      <c r="D2983" s="916"/>
      <c r="E2983" s="905"/>
      <c r="F2983" s="865"/>
      <c r="G2983" s="866"/>
      <c r="H2983" s="840">
        <f t="shared" si="92"/>
        <v>0</v>
      </c>
      <c r="I2983" s="840">
        <f t="shared" si="93"/>
        <v>0</v>
      </c>
    </row>
    <row r="2984" spans="1:9" hidden="1">
      <c r="A2984" s="1079"/>
      <c r="B2984" s="475"/>
      <c r="C2984" s="916"/>
      <c r="D2984" s="916"/>
      <c r="E2984" s="905"/>
      <c r="F2984" s="865"/>
      <c r="G2984" s="866"/>
      <c r="H2984" s="840">
        <f t="shared" si="92"/>
        <v>0</v>
      </c>
      <c r="I2984" s="840">
        <f t="shared" si="93"/>
        <v>0</v>
      </c>
    </row>
    <row r="2985" spans="1:9" hidden="1">
      <c r="A2985" s="1079"/>
      <c r="B2985" s="475"/>
      <c r="C2985" s="916"/>
      <c r="D2985" s="916"/>
      <c r="E2985" s="905"/>
      <c r="F2985" s="865"/>
      <c r="G2985" s="866"/>
      <c r="H2985" s="840">
        <f t="shared" si="92"/>
        <v>0</v>
      </c>
      <c r="I2985" s="840">
        <f t="shared" si="93"/>
        <v>0</v>
      </c>
    </row>
    <row r="2986" spans="1:9" hidden="1">
      <c r="A2986" s="1079"/>
      <c r="B2986" s="475"/>
      <c r="C2986" s="916"/>
      <c r="D2986" s="916"/>
      <c r="E2986" s="905"/>
      <c r="F2986" s="865"/>
      <c r="G2986" s="866"/>
      <c r="H2986" s="840">
        <f t="shared" si="92"/>
        <v>0</v>
      </c>
      <c r="I2986" s="840">
        <f t="shared" si="93"/>
        <v>0</v>
      </c>
    </row>
    <row r="2987" spans="1:9" hidden="1">
      <c r="A2987" s="1079"/>
      <c r="B2987" s="475"/>
      <c r="C2987" s="916"/>
      <c r="D2987" s="916"/>
      <c r="E2987" s="905"/>
      <c r="F2987" s="865"/>
      <c r="G2987" s="866"/>
      <c r="H2987" s="840">
        <f t="shared" si="92"/>
        <v>0</v>
      </c>
      <c r="I2987" s="840">
        <f t="shared" si="93"/>
        <v>0</v>
      </c>
    </row>
    <row r="2988" spans="1:9" hidden="1">
      <c r="A2988" s="1079"/>
      <c r="B2988" s="475"/>
      <c r="C2988" s="916"/>
      <c r="D2988" s="916"/>
      <c r="E2988" s="905"/>
      <c r="F2988" s="865"/>
      <c r="G2988" s="866"/>
      <c r="H2988" s="840">
        <f t="shared" si="92"/>
        <v>0</v>
      </c>
      <c r="I2988" s="840">
        <f t="shared" si="93"/>
        <v>0</v>
      </c>
    </row>
    <row r="2989" spans="1:9" hidden="1">
      <c r="A2989" s="1079"/>
      <c r="B2989" s="475"/>
      <c r="C2989" s="916"/>
      <c r="D2989" s="916"/>
      <c r="E2989" s="905"/>
      <c r="F2989" s="865"/>
      <c r="G2989" s="866"/>
      <c r="H2989" s="840">
        <f t="shared" si="92"/>
        <v>0</v>
      </c>
      <c r="I2989" s="840">
        <f t="shared" si="93"/>
        <v>0</v>
      </c>
    </row>
    <row r="2990" spans="1:9" hidden="1">
      <c r="A2990" s="1079"/>
      <c r="B2990" s="475"/>
      <c r="C2990" s="916"/>
      <c r="D2990" s="916"/>
      <c r="E2990" s="905"/>
      <c r="F2990" s="865"/>
      <c r="G2990" s="866"/>
      <c r="H2990" s="840">
        <f t="shared" si="92"/>
        <v>0</v>
      </c>
      <c r="I2990" s="840">
        <f t="shared" si="93"/>
        <v>0</v>
      </c>
    </row>
    <row r="2991" spans="1:9" hidden="1">
      <c r="A2991" s="1079"/>
      <c r="B2991" s="475"/>
      <c r="C2991" s="916"/>
      <c r="D2991" s="916"/>
      <c r="E2991" s="905"/>
      <c r="F2991" s="865"/>
      <c r="G2991" s="866"/>
      <c r="H2991" s="840">
        <f t="shared" si="92"/>
        <v>0</v>
      </c>
      <c r="I2991" s="840">
        <f t="shared" si="93"/>
        <v>0</v>
      </c>
    </row>
    <row r="2992" spans="1:9">
      <c r="A2992" s="1148"/>
      <c r="B2992" s="461" t="s">
        <v>253</v>
      </c>
      <c r="C2992" s="919">
        <f>SUM(C2958:C2991)</f>
        <v>241040</v>
      </c>
      <c r="D2992" s="919">
        <f>SUM(D2958:D2991)</f>
        <v>198950</v>
      </c>
      <c r="E2992" s="919">
        <f>SUM(E2958:E2991)</f>
        <v>42090</v>
      </c>
      <c r="F2992" s="865"/>
      <c r="G2992" s="866"/>
      <c r="H2992" s="840">
        <f t="shared" si="92"/>
        <v>0</v>
      </c>
      <c r="I2992" s="840">
        <f t="shared" si="93"/>
        <v>482080</v>
      </c>
    </row>
    <row r="2993" spans="1:9" ht="56.25">
      <c r="A2993" s="1078" t="s">
        <v>51</v>
      </c>
      <c r="B2993" s="475" t="s">
        <v>950</v>
      </c>
      <c r="C2993" s="946">
        <v>180000</v>
      </c>
      <c r="D2993" s="530"/>
      <c r="E2993" s="905">
        <v>180000</v>
      </c>
      <c r="F2993" s="865"/>
      <c r="G2993" s="866"/>
      <c r="H2993" s="840">
        <f t="shared" si="92"/>
        <v>0</v>
      </c>
      <c r="I2993" s="840">
        <f t="shared" si="93"/>
        <v>360000</v>
      </c>
    </row>
    <row r="2994" spans="1:9" ht="56.25">
      <c r="A2994" s="1079"/>
      <c r="B2994" s="535" t="s">
        <v>1106</v>
      </c>
      <c r="C2994" s="905">
        <v>45000</v>
      </c>
      <c r="D2994" s="905"/>
      <c r="E2994" s="905">
        <v>45000</v>
      </c>
      <c r="F2994" s="865"/>
      <c r="G2994" s="866"/>
      <c r="H2994" s="840">
        <f t="shared" si="92"/>
        <v>0</v>
      </c>
      <c r="I2994" s="840">
        <f t="shared" si="93"/>
        <v>90000</v>
      </c>
    </row>
    <row r="2995" spans="1:9" ht="37.5">
      <c r="A2995" s="1079"/>
      <c r="B2995" s="535" t="s">
        <v>1107</v>
      </c>
      <c r="C2995" s="905">
        <v>10000</v>
      </c>
      <c r="D2995" s="905"/>
      <c r="E2995" s="905">
        <v>10000</v>
      </c>
      <c r="F2995" s="865"/>
      <c r="G2995" s="866"/>
      <c r="H2995" s="840">
        <f t="shared" si="92"/>
        <v>0</v>
      </c>
      <c r="I2995" s="840">
        <f t="shared" si="93"/>
        <v>20000</v>
      </c>
    </row>
    <row r="2996" spans="1:9" ht="56.25">
      <c r="A2996" s="1079"/>
      <c r="B2996" s="475" t="s">
        <v>1457</v>
      </c>
      <c r="C2996" s="530">
        <v>11100</v>
      </c>
      <c r="D2996" s="530"/>
      <c r="E2996" s="530">
        <v>11100</v>
      </c>
      <c r="F2996" s="865"/>
      <c r="G2996" s="866"/>
      <c r="H2996" s="840">
        <f t="shared" si="92"/>
        <v>0</v>
      </c>
      <c r="I2996" s="840">
        <f t="shared" si="93"/>
        <v>22200</v>
      </c>
    </row>
    <row r="2997" spans="1:9" ht="75">
      <c r="A2997" s="1079"/>
      <c r="B2997" s="475" t="s">
        <v>1458</v>
      </c>
      <c r="C2997" s="530">
        <v>12000</v>
      </c>
      <c r="D2997" s="530"/>
      <c r="E2997" s="530">
        <v>12000</v>
      </c>
      <c r="F2997" s="865"/>
      <c r="G2997" s="866"/>
      <c r="H2997" s="840">
        <f t="shared" si="92"/>
        <v>0</v>
      </c>
      <c r="I2997" s="840">
        <f t="shared" si="93"/>
        <v>24000</v>
      </c>
    </row>
    <row r="2998" spans="1:9" ht="56.25">
      <c r="A2998" s="1079"/>
      <c r="B2998" s="475" t="s">
        <v>1459</v>
      </c>
      <c r="C2998" s="530">
        <v>15000</v>
      </c>
      <c r="D2998" s="530">
        <v>15000</v>
      </c>
      <c r="E2998" s="905"/>
      <c r="F2998" s="865"/>
      <c r="G2998" s="866"/>
      <c r="H2998" s="840">
        <f t="shared" si="92"/>
        <v>0</v>
      </c>
      <c r="I2998" s="840">
        <f t="shared" si="93"/>
        <v>30000</v>
      </c>
    </row>
    <row r="2999" spans="1:9" ht="56.25">
      <c r="A2999" s="1079"/>
      <c r="B2999" s="475" t="s">
        <v>1460</v>
      </c>
      <c r="C2999" s="530">
        <v>5400</v>
      </c>
      <c r="D2999" s="530">
        <v>5400</v>
      </c>
      <c r="E2999" s="905"/>
      <c r="F2999" s="865"/>
      <c r="G2999" s="866"/>
      <c r="H2999" s="840">
        <f t="shared" si="92"/>
        <v>0</v>
      </c>
      <c r="I2999" s="840">
        <f t="shared" si="93"/>
        <v>10800</v>
      </c>
    </row>
    <row r="3000" spans="1:9" ht="75">
      <c r="A3000" s="1079"/>
      <c r="B3000" s="475" t="s">
        <v>1461</v>
      </c>
      <c r="C3000" s="530">
        <v>7000</v>
      </c>
      <c r="D3000" s="530"/>
      <c r="E3000" s="905">
        <v>7000</v>
      </c>
      <c r="F3000" s="865"/>
      <c r="G3000" s="866"/>
      <c r="H3000" s="840">
        <f t="shared" si="92"/>
        <v>0</v>
      </c>
      <c r="I3000" s="840">
        <f t="shared" si="93"/>
        <v>14000</v>
      </c>
    </row>
    <row r="3001" spans="1:9" ht="75">
      <c r="A3001" s="1079"/>
      <c r="B3001" s="475" t="s">
        <v>1462</v>
      </c>
      <c r="C3001" s="530">
        <v>15778</v>
      </c>
      <c r="D3001" s="530">
        <v>15778</v>
      </c>
      <c r="E3001" s="905"/>
      <c r="F3001" s="865"/>
      <c r="G3001" s="866"/>
      <c r="H3001" s="840">
        <f t="shared" si="92"/>
        <v>0</v>
      </c>
      <c r="I3001" s="840">
        <f t="shared" si="93"/>
        <v>31556</v>
      </c>
    </row>
    <row r="3002" spans="1:9" ht="56.25">
      <c r="A3002" s="1079"/>
      <c r="B3002" s="475" t="s">
        <v>1923</v>
      </c>
      <c r="C3002" s="911">
        <v>11000</v>
      </c>
      <c r="D3002" s="911">
        <v>2500</v>
      </c>
      <c r="E3002" s="911">
        <v>8500</v>
      </c>
      <c r="F3002" s="865"/>
      <c r="G3002" s="866"/>
      <c r="H3002" s="840">
        <f t="shared" si="92"/>
        <v>0</v>
      </c>
      <c r="I3002" s="840">
        <f t="shared" si="93"/>
        <v>22000</v>
      </c>
    </row>
    <row r="3003" spans="1:9" ht="37.5">
      <c r="A3003" s="1079"/>
      <c r="B3003" s="475" t="s">
        <v>1924</v>
      </c>
      <c r="C3003" s="911">
        <v>12000</v>
      </c>
      <c r="D3003" s="911">
        <v>12000</v>
      </c>
      <c r="E3003" s="911"/>
      <c r="F3003" s="865"/>
      <c r="G3003" s="866"/>
      <c r="H3003" s="840">
        <f t="shared" si="92"/>
        <v>0</v>
      </c>
      <c r="I3003" s="840">
        <f t="shared" si="93"/>
        <v>24000</v>
      </c>
    </row>
    <row r="3004" spans="1:9" ht="37.5">
      <c r="A3004" s="1079"/>
      <c r="B3004" s="475" t="s">
        <v>1925</v>
      </c>
      <c r="C3004" s="911">
        <v>10000</v>
      </c>
      <c r="D3004" s="911"/>
      <c r="E3004" s="911">
        <v>10000</v>
      </c>
      <c r="F3004" s="865"/>
      <c r="G3004" s="866"/>
      <c r="H3004" s="840">
        <f t="shared" si="92"/>
        <v>0</v>
      </c>
      <c r="I3004" s="840">
        <f t="shared" si="93"/>
        <v>20000</v>
      </c>
    </row>
    <row r="3005" spans="1:9" ht="75">
      <c r="A3005" s="1079"/>
      <c r="B3005" s="475" t="s">
        <v>1926</v>
      </c>
      <c r="C3005" s="911">
        <v>6000</v>
      </c>
      <c r="D3005" s="911">
        <v>6000</v>
      </c>
      <c r="E3005" s="911"/>
      <c r="F3005" s="865"/>
      <c r="G3005" s="866"/>
      <c r="H3005" s="840">
        <f t="shared" si="92"/>
        <v>0</v>
      </c>
      <c r="I3005" s="840">
        <f t="shared" si="93"/>
        <v>12000</v>
      </c>
    </row>
    <row r="3006" spans="1:9" ht="56.25">
      <c r="A3006" s="1079"/>
      <c r="B3006" s="475" t="s">
        <v>1927</v>
      </c>
      <c r="C3006" s="911">
        <v>11000</v>
      </c>
      <c r="D3006" s="911"/>
      <c r="E3006" s="911">
        <v>11000</v>
      </c>
      <c r="F3006" s="865"/>
      <c r="G3006" s="866"/>
      <c r="H3006" s="840">
        <f t="shared" si="92"/>
        <v>0</v>
      </c>
      <c r="I3006" s="840">
        <f t="shared" si="93"/>
        <v>22000</v>
      </c>
    </row>
    <row r="3007" spans="1:9" ht="93.75">
      <c r="A3007" s="1079"/>
      <c r="B3007" s="535" t="s">
        <v>2180</v>
      </c>
      <c r="C3007" s="908">
        <v>10000</v>
      </c>
      <c r="D3007" s="908">
        <v>10000</v>
      </c>
      <c r="E3007" s="905"/>
      <c r="F3007" s="865"/>
      <c r="G3007" s="866"/>
      <c r="H3007" s="840">
        <f t="shared" si="92"/>
        <v>0</v>
      </c>
      <c r="I3007" s="840">
        <f t="shared" si="93"/>
        <v>20000</v>
      </c>
    </row>
    <row r="3008" spans="1:9" ht="75">
      <c r="A3008" s="1079"/>
      <c r="B3008" s="475" t="s">
        <v>2181</v>
      </c>
      <c r="C3008" s="908">
        <v>48000</v>
      </c>
      <c r="D3008" s="908">
        <v>48000</v>
      </c>
      <c r="E3008" s="905"/>
      <c r="F3008" s="865"/>
      <c r="G3008" s="866"/>
      <c r="H3008" s="840">
        <f t="shared" si="92"/>
        <v>0</v>
      </c>
      <c r="I3008" s="840">
        <f t="shared" si="93"/>
        <v>96000</v>
      </c>
    </row>
    <row r="3009" spans="1:9" ht="75">
      <c r="A3009" s="1079"/>
      <c r="B3009" s="475" t="s">
        <v>2182</v>
      </c>
      <c r="C3009" s="908">
        <v>9000</v>
      </c>
      <c r="D3009" s="908"/>
      <c r="E3009" s="905">
        <v>9000</v>
      </c>
      <c r="F3009" s="865"/>
      <c r="G3009" s="866"/>
      <c r="H3009" s="840">
        <f t="shared" si="92"/>
        <v>0</v>
      </c>
      <c r="I3009" s="840">
        <f t="shared" si="93"/>
        <v>18000</v>
      </c>
    </row>
    <row r="3010" spans="1:9" ht="56.25">
      <c r="A3010" s="1079"/>
      <c r="B3010" s="475" t="s">
        <v>2183</v>
      </c>
      <c r="C3010" s="908">
        <v>29000</v>
      </c>
      <c r="D3010" s="908">
        <v>29000</v>
      </c>
      <c r="E3010" s="905"/>
      <c r="F3010" s="865"/>
      <c r="G3010" s="866"/>
      <c r="H3010" s="840">
        <f t="shared" si="92"/>
        <v>0</v>
      </c>
      <c r="I3010" s="840">
        <f t="shared" si="93"/>
        <v>58000</v>
      </c>
    </row>
    <row r="3011" spans="1:9" ht="37.5">
      <c r="A3011" s="1079"/>
      <c r="B3011" s="475" t="s">
        <v>2184</v>
      </c>
      <c r="C3011" s="908">
        <v>109190</v>
      </c>
      <c r="D3011" s="908">
        <v>109190</v>
      </c>
      <c r="E3011" s="905"/>
      <c r="F3011" s="865"/>
      <c r="G3011" s="866"/>
      <c r="H3011" s="840">
        <f t="shared" si="92"/>
        <v>0</v>
      </c>
      <c r="I3011" s="840">
        <f t="shared" si="93"/>
        <v>218380</v>
      </c>
    </row>
    <row r="3012" spans="1:9" ht="56.25">
      <c r="A3012" s="1079"/>
      <c r="B3012" s="475" t="s">
        <v>2185</v>
      </c>
      <c r="C3012" s="908">
        <v>12000</v>
      </c>
      <c r="D3012" s="908">
        <v>12000</v>
      </c>
      <c r="E3012" s="905"/>
      <c r="F3012" s="865"/>
      <c r="G3012" s="866"/>
      <c r="H3012" s="840">
        <f t="shared" si="92"/>
        <v>0</v>
      </c>
      <c r="I3012" s="840">
        <f t="shared" si="93"/>
        <v>24000</v>
      </c>
    </row>
    <row r="3013" spans="1:9" ht="75">
      <c r="A3013" s="1079"/>
      <c r="B3013" s="535" t="s">
        <v>2186</v>
      </c>
      <c r="C3013" s="908">
        <v>10000</v>
      </c>
      <c r="D3013" s="908"/>
      <c r="E3013" s="905">
        <v>10000</v>
      </c>
      <c r="F3013" s="865"/>
      <c r="G3013" s="866"/>
      <c r="H3013" s="840">
        <f t="shared" si="92"/>
        <v>0</v>
      </c>
      <c r="I3013" s="840">
        <f t="shared" si="93"/>
        <v>20000</v>
      </c>
    </row>
    <row r="3014" spans="1:9" ht="75">
      <c r="A3014" s="1079"/>
      <c r="B3014" s="535" t="s">
        <v>2187</v>
      </c>
      <c r="C3014" s="908">
        <v>1077</v>
      </c>
      <c r="D3014" s="908">
        <v>1077</v>
      </c>
      <c r="E3014" s="905"/>
      <c r="F3014" s="865"/>
      <c r="G3014" s="866"/>
      <c r="H3014" s="840">
        <f t="shared" si="92"/>
        <v>0</v>
      </c>
      <c r="I3014" s="840">
        <f t="shared" si="93"/>
        <v>2154</v>
      </c>
    </row>
    <row r="3015" spans="1:9" ht="56.25">
      <c r="A3015" s="1079"/>
      <c r="B3015" s="535" t="s">
        <v>2188</v>
      </c>
      <c r="C3015" s="908">
        <v>8300</v>
      </c>
      <c r="D3015" s="908">
        <v>8300</v>
      </c>
      <c r="E3015" s="905"/>
      <c r="F3015" s="865"/>
      <c r="G3015" s="866"/>
      <c r="H3015" s="840">
        <f t="shared" si="92"/>
        <v>0</v>
      </c>
      <c r="I3015" s="840">
        <f t="shared" si="93"/>
        <v>16600</v>
      </c>
    </row>
    <row r="3016" spans="1:9" ht="56.25">
      <c r="A3016" s="1079"/>
      <c r="B3016" s="535" t="s">
        <v>2189</v>
      </c>
      <c r="C3016" s="908">
        <v>31290</v>
      </c>
      <c r="D3016" s="908"/>
      <c r="E3016" s="905">
        <v>31290</v>
      </c>
      <c r="F3016" s="865"/>
      <c r="G3016" s="866"/>
      <c r="H3016" s="840">
        <f t="shared" si="92"/>
        <v>0</v>
      </c>
      <c r="I3016" s="840">
        <f t="shared" si="93"/>
        <v>62580</v>
      </c>
    </row>
    <row r="3017" spans="1:9" ht="75">
      <c r="A3017" s="1079"/>
      <c r="B3017" s="475" t="s">
        <v>2490</v>
      </c>
      <c r="C3017" s="908">
        <v>28000</v>
      </c>
      <c r="D3017" s="908">
        <v>1500</v>
      </c>
      <c r="E3017" s="905">
        <v>26500</v>
      </c>
      <c r="F3017" s="865"/>
      <c r="G3017" s="866"/>
      <c r="H3017" s="840">
        <f t="shared" ref="H3017:H3080" si="94">E3017+D3017-C3017</f>
        <v>0</v>
      </c>
      <c r="I3017" s="840">
        <f t="shared" ref="I3017:I3080" si="95">SUM(C3017:E3017)</f>
        <v>56000</v>
      </c>
    </row>
    <row r="3018" spans="1:9" ht="93.75">
      <c r="A3018" s="1079"/>
      <c r="B3018" s="475" t="s">
        <v>2491</v>
      </c>
      <c r="C3018" s="908">
        <v>40000</v>
      </c>
      <c r="D3018" s="908">
        <v>40000</v>
      </c>
      <c r="E3018" s="905"/>
      <c r="F3018" s="865"/>
      <c r="G3018" s="866"/>
      <c r="H3018" s="840">
        <f t="shared" si="94"/>
        <v>0</v>
      </c>
      <c r="I3018" s="840">
        <f t="shared" si="95"/>
        <v>80000</v>
      </c>
    </row>
    <row r="3019" spans="1:9" ht="56.25">
      <c r="A3019" s="1079"/>
      <c r="B3019" s="475" t="s">
        <v>2911</v>
      </c>
      <c r="C3019" s="915">
        <v>13000</v>
      </c>
      <c r="D3019" s="915">
        <v>13000</v>
      </c>
      <c r="E3019" s="914"/>
      <c r="F3019" s="865"/>
      <c r="G3019" s="866"/>
      <c r="H3019" s="840">
        <f t="shared" si="94"/>
        <v>0</v>
      </c>
      <c r="I3019" s="840">
        <f t="shared" si="95"/>
        <v>26000</v>
      </c>
    </row>
    <row r="3020" spans="1:9" ht="56.25">
      <c r="A3020" s="1079"/>
      <c r="B3020" s="475" t="s">
        <v>2912</v>
      </c>
      <c r="C3020" s="915">
        <v>5000</v>
      </c>
      <c r="D3020" s="915">
        <v>5000</v>
      </c>
      <c r="E3020" s="914"/>
      <c r="F3020" s="865"/>
      <c r="G3020" s="866"/>
      <c r="H3020" s="840">
        <f t="shared" si="94"/>
        <v>0</v>
      </c>
      <c r="I3020" s="840">
        <f t="shared" si="95"/>
        <v>10000</v>
      </c>
    </row>
    <row r="3021" spans="1:9" ht="93.75">
      <c r="A3021" s="1079"/>
      <c r="B3021" s="475" t="s">
        <v>2913</v>
      </c>
      <c r="C3021" s="915">
        <v>15000</v>
      </c>
      <c r="D3021" s="915">
        <v>15000</v>
      </c>
      <c r="E3021" s="914"/>
      <c r="F3021" s="865"/>
      <c r="G3021" s="866"/>
      <c r="H3021" s="840">
        <f t="shared" si="94"/>
        <v>0</v>
      </c>
      <c r="I3021" s="840">
        <f t="shared" si="95"/>
        <v>30000</v>
      </c>
    </row>
    <row r="3022" spans="1:9" ht="56.25">
      <c r="A3022" s="1079"/>
      <c r="B3022" s="475" t="s">
        <v>2914</v>
      </c>
      <c r="C3022" s="915">
        <v>10000</v>
      </c>
      <c r="D3022" s="915"/>
      <c r="E3022" s="914">
        <v>10000</v>
      </c>
      <c r="F3022" s="865"/>
      <c r="G3022" s="866"/>
      <c r="H3022" s="840">
        <f t="shared" si="94"/>
        <v>0</v>
      </c>
      <c r="I3022" s="840">
        <f t="shared" si="95"/>
        <v>20000</v>
      </c>
    </row>
    <row r="3023" spans="1:9" ht="75">
      <c r="A3023" s="1079"/>
      <c r="B3023" s="535" t="s">
        <v>2915</v>
      </c>
      <c r="C3023" s="914">
        <v>60000</v>
      </c>
      <c r="D3023" s="914"/>
      <c r="E3023" s="914">
        <v>60000</v>
      </c>
      <c r="F3023" s="865"/>
      <c r="G3023" s="866"/>
      <c r="H3023" s="840">
        <f t="shared" si="94"/>
        <v>0</v>
      </c>
      <c r="I3023" s="840">
        <f t="shared" si="95"/>
        <v>120000</v>
      </c>
    </row>
    <row r="3024" spans="1:9" ht="93.75">
      <c r="A3024" s="1079"/>
      <c r="B3024" s="535" t="s">
        <v>2916</v>
      </c>
      <c r="C3024" s="914">
        <v>8134</v>
      </c>
      <c r="D3024" s="914">
        <v>8134</v>
      </c>
      <c r="E3024" s="914"/>
      <c r="F3024" s="865"/>
      <c r="G3024" s="866"/>
      <c r="H3024" s="840">
        <f t="shared" si="94"/>
        <v>0</v>
      </c>
      <c r="I3024" s="840">
        <f t="shared" si="95"/>
        <v>16268</v>
      </c>
    </row>
    <row r="3025" spans="1:9" ht="56.25">
      <c r="A3025" s="1079"/>
      <c r="B3025" s="535" t="s">
        <v>2917</v>
      </c>
      <c r="C3025" s="914">
        <v>17000</v>
      </c>
      <c r="D3025" s="914">
        <v>17000</v>
      </c>
      <c r="E3025" s="914"/>
      <c r="F3025" s="865"/>
      <c r="G3025" s="866"/>
      <c r="H3025" s="840">
        <f t="shared" si="94"/>
        <v>0</v>
      </c>
      <c r="I3025" s="840">
        <f t="shared" si="95"/>
        <v>34000</v>
      </c>
    </row>
    <row r="3026" spans="1:9" ht="56.25">
      <c r="A3026" s="1079"/>
      <c r="B3026" s="535" t="s">
        <v>2918</v>
      </c>
      <c r="C3026" s="914">
        <v>10000</v>
      </c>
      <c r="D3026" s="914">
        <v>10000</v>
      </c>
      <c r="E3026" s="914"/>
      <c r="F3026" s="865"/>
      <c r="G3026" s="866"/>
      <c r="H3026" s="840">
        <f t="shared" si="94"/>
        <v>0</v>
      </c>
      <c r="I3026" s="840">
        <f t="shared" si="95"/>
        <v>20000</v>
      </c>
    </row>
    <row r="3027" spans="1:9">
      <c r="A3027" s="1148"/>
      <c r="B3027" s="461" t="s">
        <v>253</v>
      </c>
      <c r="C3027" s="919">
        <f>SUM(C2993:C3026)</f>
        <v>825269</v>
      </c>
      <c r="D3027" s="919">
        <f>SUM(D2993:D3026)</f>
        <v>383879</v>
      </c>
      <c r="E3027" s="919">
        <f>SUM(E2993:E3026)</f>
        <v>441390</v>
      </c>
      <c r="F3027" s="865"/>
      <c r="G3027" s="866"/>
      <c r="H3027" s="840">
        <f t="shared" si="94"/>
        <v>0</v>
      </c>
      <c r="I3027" s="840">
        <f t="shared" si="95"/>
        <v>1650538</v>
      </c>
    </row>
    <row r="3028" spans="1:9" ht="112.5">
      <c r="A3028" s="1078" t="s">
        <v>52</v>
      </c>
      <c r="B3028" s="475" t="s">
        <v>953</v>
      </c>
      <c r="C3028" s="530">
        <v>100000</v>
      </c>
      <c r="D3028" s="530"/>
      <c r="E3028" s="905">
        <v>100000</v>
      </c>
      <c r="F3028" s="865"/>
      <c r="G3028" s="866"/>
      <c r="H3028" s="840">
        <f t="shared" si="94"/>
        <v>0</v>
      </c>
      <c r="I3028" s="840">
        <f t="shared" si="95"/>
        <v>200000</v>
      </c>
    </row>
    <row r="3029" spans="1:9" ht="56.25">
      <c r="A3029" s="1079"/>
      <c r="B3029" s="475" t="s">
        <v>1108</v>
      </c>
      <c r="C3029" s="905">
        <v>50000</v>
      </c>
      <c r="D3029" s="905">
        <v>50000</v>
      </c>
      <c r="E3029" s="905"/>
      <c r="F3029" s="865"/>
      <c r="G3029" s="866"/>
      <c r="H3029" s="840">
        <f t="shared" si="94"/>
        <v>0</v>
      </c>
      <c r="I3029" s="840">
        <f t="shared" si="95"/>
        <v>100000</v>
      </c>
    </row>
    <row r="3030" spans="1:9" ht="37.5">
      <c r="A3030" s="1079"/>
      <c r="B3030" s="475" t="s">
        <v>1109</v>
      </c>
      <c r="C3030" s="905">
        <v>300000</v>
      </c>
      <c r="D3030" s="905">
        <v>300000</v>
      </c>
      <c r="E3030" s="905"/>
      <c r="F3030" s="865"/>
      <c r="G3030" s="866"/>
      <c r="H3030" s="840">
        <f t="shared" si="94"/>
        <v>0</v>
      </c>
      <c r="I3030" s="840">
        <f t="shared" si="95"/>
        <v>600000</v>
      </c>
    </row>
    <row r="3031" spans="1:9" ht="37.5">
      <c r="A3031" s="1079"/>
      <c r="B3031" s="475" t="s">
        <v>1463</v>
      </c>
      <c r="C3031" s="530">
        <v>50000</v>
      </c>
      <c r="D3031" s="530"/>
      <c r="E3031" s="905">
        <v>50000</v>
      </c>
      <c r="F3031" s="865"/>
      <c r="G3031" s="866"/>
      <c r="H3031" s="840">
        <f t="shared" si="94"/>
        <v>0</v>
      </c>
      <c r="I3031" s="840">
        <f t="shared" si="95"/>
        <v>100000</v>
      </c>
    </row>
    <row r="3032" spans="1:9" ht="37.5">
      <c r="A3032" s="1079"/>
      <c r="B3032" s="475" t="s">
        <v>1464</v>
      </c>
      <c r="C3032" s="530">
        <v>36000</v>
      </c>
      <c r="D3032" s="530">
        <v>36000</v>
      </c>
      <c r="E3032" s="905"/>
      <c r="F3032" s="865"/>
      <c r="G3032" s="866"/>
      <c r="H3032" s="840">
        <f t="shared" si="94"/>
        <v>0</v>
      </c>
      <c r="I3032" s="840">
        <f t="shared" si="95"/>
        <v>72000</v>
      </c>
    </row>
    <row r="3033" spans="1:9" ht="112.5">
      <c r="A3033" s="1079"/>
      <c r="B3033" s="475" t="s">
        <v>1465</v>
      </c>
      <c r="C3033" s="530">
        <v>40000</v>
      </c>
      <c r="D3033" s="530">
        <v>40000</v>
      </c>
      <c r="E3033" s="905"/>
      <c r="F3033" s="865"/>
      <c r="G3033" s="866"/>
      <c r="H3033" s="840">
        <f t="shared" si="94"/>
        <v>0</v>
      </c>
      <c r="I3033" s="840">
        <f t="shared" si="95"/>
        <v>80000</v>
      </c>
    </row>
    <row r="3034" spans="1:9" ht="56.25">
      <c r="A3034" s="1079"/>
      <c r="B3034" s="475" t="s">
        <v>1466</v>
      </c>
      <c r="C3034" s="530">
        <v>15000</v>
      </c>
      <c r="D3034" s="530">
        <v>15000</v>
      </c>
      <c r="E3034" s="905"/>
      <c r="F3034" s="865"/>
      <c r="G3034" s="866"/>
      <c r="H3034" s="840">
        <f t="shared" si="94"/>
        <v>0</v>
      </c>
      <c r="I3034" s="840">
        <f t="shared" si="95"/>
        <v>30000</v>
      </c>
    </row>
    <row r="3035" spans="1:9" ht="37.5">
      <c r="A3035" s="1079"/>
      <c r="B3035" s="475" t="s">
        <v>1467</v>
      </c>
      <c r="C3035" s="530">
        <v>5000</v>
      </c>
      <c r="D3035" s="530">
        <v>5000</v>
      </c>
      <c r="E3035" s="905"/>
      <c r="F3035" s="865"/>
      <c r="G3035" s="866"/>
      <c r="H3035" s="840">
        <f t="shared" si="94"/>
        <v>0</v>
      </c>
      <c r="I3035" s="840">
        <f t="shared" si="95"/>
        <v>10000</v>
      </c>
    </row>
    <row r="3036" spans="1:9" ht="56.25">
      <c r="A3036" s="1079"/>
      <c r="B3036" s="475" t="s">
        <v>1468</v>
      </c>
      <c r="C3036" s="905">
        <v>36000</v>
      </c>
      <c r="D3036" s="905">
        <v>36000</v>
      </c>
      <c r="E3036" s="932"/>
      <c r="F3036" s="865"/>
      <c r="G3036" s="866"/>
      <c r="H3036" s="840">
        <f t="shared" si="94"/>
        <v>0</v>
      </c>
      <c r="I3036" s="840">
        <f t="shared" si="95"/>
        <v>72000</v>
      </c>
    </row>
    <row r="3037" spans="1:9" ht="37.5">
      <c r="A3037" s="1079"/>
      <c r="B3037" s="475" t="s">
        <v>1469</v>
      </c>
      <c r="C3037" s="530">
        <v>42432</v>
      </c>
      <c r="D3037" s="530">
        <v>42432</v>
      </c>
      <c r="E3037" s="905"/>
      <c r="F3037" s="865"/>
      <c r="G3037" s="866"/>
      <c r="H3037" s="840">
        <f t="shared" si="94"/>
        <v>0</v>
      </c>
      <c r="I3037" s="840">
        <f t="shared" si="95"/>
        <v>84864</v>
      </c>
    </row>
    <row r="3038" spans="1:9" ht="37.5">
      <c r="A3038" s="1079"/>
      <c r="B3038" s="475" t="s">
        <v>1470</v>
      </c>
      <c r="C3038" s="530">
        <v>50000</v>
      </c>
      <c r="D3038" s="530"/>
      <c r="E3038" s="905">
        <v>50000</v>
      </c>
      <c r="F3038" s="865"/>
      <c r="G3038" s="866"/>
      <c r="H3038" s="840">
        <f t="shared" si="94"/>
        <v>0</v>
      </c>
      <c r="I3038" s="840">
        <f t="shared" si="95"/>
        <v>100000</v>
      </c>
    </row>
    <row r="3039" spans="1:9" ht="37.5">
      <c r="A3039" s="1079"/>
      <c r="B3039" s="475" t="s">
        <v>1471</v>
      </c>
      <c r="C3039" s="530">
        <v>30000</v>
      </c>
      <c r="D3039" s="530">
        <v>30000</v>
      </c>
      <c r="E3039" s="905"/>
      <c r="F3039" s="865"/>
      <c r="G3039" s="866"/>
      <c r="H3039" s="840">
        <f t="shared" si="94"/>
        <v>0</v>
      </c>
      <c r="I3039" s="840">
        <f t="shared" si="95"/>
        <v>60000</v>
      </c>
    </row>
    <row r="3040" spans="1:9" ht="93.75">
      <c r="A3040" s="1079"/>
      <c r="B3040" s="535" t="s">
        <v>1797</v>
      </c>
      <c r="C3040" s="914">
        <v>25000</v>
      </c>
      <c r="D3040" s="914">
        <v>25000</v>
      </c>
      <c r="E3040" s="914"/>
      <c r="F3040" s="865"/>
      <c r="G3040" s="866"/>
      <c r="H3040" s="840">
        <f t="shared" si="94"/>
        <v>0</v>
      </c>
      <c r="I3040" s="840">
        <f t="shared" si="95"/>
        <v>50000</v>
      </c>
    </row>
    <row r="3041" spans="1:9" ht="37.5">
      <c r="A3041" s="1079"/>
      <c r="B3041" s="535" t="s">
        <v>1798</v>
      </c>
      <c r="C3041" s="914">
        <v>5000</v>
      </c>
      <c r="D3041" s="914">
        <v>5000</v>
      </c>
      <c r="E3041" s="914"/>
      <c r="F3041" s="865"/>
      <c r="G3041" s="866"/>
      <c r="H3041" s="840">
        <f t="shared" si="94"/>
        <v>0</v>
      </c>
      <c r="I3041" s="840">
        <f t="shared" si="95"/>
        <v>10000</v>
      </c>
    </row>
    <row r="3042" spans="1:9" ht="37.5">
      <c r="A3042" s="1079"/>
      <c r="B3042" s="535" t="s">
        <v>1799</v>
      </c>
      <c r="C3042" s="914">
        <v>35000</v>
      </c>
      <c r="D3042" s="914"/>
      <c r="E3042" s="914">
        <v>35000</v>
      </c>
      <c r="F3042" s="865"/>
      <c r="G3042" s="866"/>
      <c r="H3042" s="840">
        <f t="shared" si="94"/>
        <v>0</v>
      </c>
      <c r="I3042" s="840">
        <f t="shared" si="95"/>
        <v>70000</v>
      </c>
    </row>
    <row r="3043" spans="1:9" ht="37.5">
      <c r="A3043" s="1079"/>
      <c r="B3043" s="535" t="s">
        <v>1928</v>
      </c>
      <c r="C3043" s="911">
        <v>100000</v>
      </c>
      <c r="D3043" s="911">
        <v>100000</v>
      </c>
      <c r="E3043" s="911"/>
      <c r="F3043" s="865"/>
      <c r="G3043" s="866"/>
      <c r="H3043" s="840">
        <f t="shared" si="94"/>
        <v>0</v>
      </c>
      <c r="I3043" s="840">
        <f t="shared" si="95"/>
        <v>200000</v>
      </c>
    </row>
    <row r="3044" spans="1:9" ht="112.5">
      <c r="A3044" s="1079"/>
      <c r="B3044" s="475" t="s">
        <v>2190</v>
      </c>
      <c r="C3044" s="905">
        <v>62300</v>
      </c>
      <c r="D3044" s="905">
        <v>62300</v>
      </c>
      <c r="E3044" s="905"/>
      <c r="F3044" s="865"/>
      <c r="G3044" s="866"/>
      <c r="H3044" s="840">
        <f t="shared" si="94"/>
        <v>0</v>
      </c>
      <c r="I3044" s="840">
        <f t="shared" si="95"/>
        <v>124600</v>
      </c>
    </row>
    <row r="3045" spans="1:9" ht="56.25">
      <c r="A3045" s="1079"/>
      <c r="B3045" s="475" t="s">
        <v>2191</v>
      </c>
      <c r="C3045" s="905">
        <v>49700</v>
      </c>
      <c r="D3045" s="905">
        <v>49700</v>
      </c>
      <c r="E3045" s="905"/>
      <c r="F3045" s="865"/>
      <c r="G3045" s="866"/>
      <c r="H3045" s="840">
        <f t="shared" si="94"/>
        <v>0</v>
      </c>
      <c r="I3045" s="840">
        <f t="shared" si="95"/>
        <v>99400</v>
      </c>
    </row>
    <row r="3046" spans="1:9" ht="75">
      <c r="A3046" s="1079"/>
      <c r="B3046" s="475" t="s">
        <v>2192</v>
      </c>
      <c r="C3046" s="905">
        <v>25000</v>
      </c>
      <c r="D3046" s="905">
        <v>1000</v>
      </c>
      <c r="E3046" s="905">
        <v>24000</v>
      </c>
      <c r="F3046" s="865"/>
      <c r="G3046" s="866"/>
      <c r="H3046" s="840">
        <f t="shared" si="94"/>
        <v>0</v>
      </c>
      <c r="I3046" s="840">
        <f t="shared" si="95"/>
        <v>50000</v>
      </c>
    </row>
    <row r="3047" spans="1:9" ht="75">
      <c r="A3047" s="1079"/>
      <c r="B3047" s="475" t="s">
        <v>2193</v>
      </c>
      <c r="C3047" s="905">
        <v>3000</v>
      </c>
      <c r="D3047" s="905">
        <v>3000</v>
      </c>
      <c r="E3047" s="905"/>
      <c r="F3047" s="865"/>
      <c r="G3047" s="866"/>
      <c r="H3047" s="840">
        <f t="shared" si="94"/>
        <v>0</v>
      </c>
      <c r="I3047" s="840">
        <f t="shared" si="95"/>
        <v>6000</v>
      </c>
    </row>
    <row r="3048" spans="1:9" ht="56.25">
      <c r="A3048" s="1079"/>
      <c r="B3048" s="475" t="s">
        <v>2194</v>
      </c>
      <c r="C3048" s="908">
        <v>5000</v>
      </c>
      <c r="D3048" s="908">
        <v>5000</v>
      </c>
      <c r="E3048" s="905"/>
      <c r="F3048" s="865"/>
      <c r="G3048" s="866"/>
      <c r="H3048" s="840">
        <f t="shared" si="94"/>
        <v>0</v>
      </c>
      <c r="I3048" s="840">
        <f t="shared" si="95"/>
        <v>10000</v>
      </c>
    </row>
    <row r="3049" spans="1:9" ht="75">
      <c r="A3049" s="1079"/>
      <c r="B3049" s="475" t="s">
        <v>2195</v>
      </c>
      <c r="C3049" s="908">
        <v>10605</v>
      </c>
      <c r="D3049" s="908">
        <v>10605</v>
      </c>
      <c r="E3049" s="905"/>
      <c r="F3049" s="865"/>
      <c r="G3049" s="866"/>
      <c r="H3049" s="840">
        <f t="shared" si="94"/>
        <v>0</v>
      </c>
      <c r="I3049" s="840">
        <f t="shared" si="95"/>
        <v>21210</v>
      </c>
    </row>
    <row r="3050" spans="1:9" ht="56.25">
      <c r="A3050" s="1079"/>
      <c r="B3050" s="475" t="s">
        <v>2196</v>
      </c>
      <c r="C3050" s="908">
        <v>10000</v>
      </c>
      <c r="D3050" s="908">
        <v>10000</v>
      </c>
      <c r="E3050" s="905"/>
      <c r="F3050" s="865"/>
      <c r="G3050" s="866"/>
      <c r="H3050" s="840">
        <f t="shared" si="94"/>
        <v>0</v>
      </c>
      <c r="I3050" s="840">
        <f t="shared" si="95"/>
        <v>20000</v>
      </c>
    </row>
    <row r="3051" spans="1:9" ht="56.25">
      <c r="A3051" s="1079"/>
      <c r="B3051" s="475" t="s">
        <v>2622</v>
      </c>
      <c r="C3051" s="905">
        <v>70000</v>
      </c>
      <c r="D3051" s="905"/>
      <c r="E3051" s="905">
        <v>70000</v>
      </c>
      <c r="F3051" s="865"/>
      <c r="G3051" s="866"/>
      <c r="H3051" s="840">
        <f t="shared" si="94"/>
        <v>0</v>
      </c>
      <c r="I3051" s="840">
        <f t="shared" si="95"/>
        <v>140000</v>
      </c>
    </row>
    <row r="3052" spans="1:9" ht="75">
      <c r="A3052" s="1079"/>
      <c r="B3052" s="535" t="s">
        <v>2919</v>
      </c>
      <c r="C3052" s="915">
        <v>32441</v>
      </c>
      <c r="D3052" s="915">
        <v>32441</v>
      </c>
      <c r="E3052" s="914"/>
      <c r="F3052" s="865"/>
      <c r="G3052" s="866"/>
      <c r="H3052" s="840">
        <f t="shared" si="94"/>
        <v>0</v>
      </c>
      <c r="I3052" s="840">
        <f t="shared" si="95"/>
        <v>64882</v>
      </c>
    </row>
    <row r="3053" spans="1:9" ht="112.5">
      <c r="A3053" s="1079"/>
      <c r="B3053" s="535" t="s">
        <v>2920</v>
      </c>
      <c r="C3053" s="915">
        <v>15000</v>
      </c>
      <c r="D3053" s="915">
        <v>15000</v>
      </c>
      <c r="E3053" s="915"/>
      <c r="F3053" s="865"/>
      <c r="G3053" s="866"/>
      <c r="H3053" s="840">
        <f t="shared" si="94"/>
        <v>0</v>
      </c>
      <c r="I3053" s="840">
        <f t="shared" si="95"/>
        <v>30000</v>
      </c>
    </row>
    <row r="3054" spans="1:9" ht="75">
      <c r="A3054" s="1079"/>
      <c r="B3054" s="535" t="s">
        <v>2921</v>
      </c>
      <c r="C3054" s="915">
        <v>5000</v>
      </c>
      <c r="D3054" s="915">
        <v>5000</v>
      </c>
      <c r="E3054" s="914"/>
      <c r="F3054" s="865"/>
      <c r="G3054" s="866"/>
      <c r="H3054" s="840">
        <f t="shared" si="94"/>
        <v>0</v>
      </c>
      <c r="I3054" s="840">
        <f t="shared" si="95"/>
        <v>10000</v>
      </c>
    </row>
    <row r="3055" spans="1:9" ht="93.75">
      <c r="A3055" s="1079"/>
      <c r="B3055" s="535" t="s">
        <v>2922</v>
      </c>
      <c r="C3055" s="915">
        <v>2000</v>
      </c>
      <c r="D3055" s="915">
        <v>2000</v>
      </c>
      <c r="E3055" s="914"/>
      <c r="F3055" s="865"/>
      <c r="G3055" s="866"/>
      <c r="H3055" s="840">
        <f t="shared" si="94"/>
        <v>0</v>
      </c>
      <c r="I3055" s="840">
        <f t="shared" si="95"/>
        <v>4000</v>
      </c>
    </row>
    <row r="3056" spans="1:9" ht="56.25">
      <c r="A3056" s="1079"/>
      <c r="B3056" s="475" t="s">
        <v>2923</v>
      </c>
      <c r="C3056" s="908">
        <v>50000</v>
      </c>
      <c r="D3056" s="915">
        <v>50000</v>
      </c>
      <c r="E3056" s="914"/>
      <c r="F3056" s="865"/>
      <c r="G3056" s="866"/>
      <c r="H3056" s="840">
        <f t="shared" si="94"/>
        <v>0</v>
      </c>
      <c r="I3056" s="840">
        <f t="shared" si="95"/>
        <v>100000</v>
      </c>
    </row>
    <row r="3057" spans="1:9" ht="56.25">
      <c r="A3057" s="1079"/>
      <c r="B3057" s="535" t="s">
        <v>2924</v>
      </c>
      <c r="C3057" s="915">
        <v>64441</v>
      </c>
      <c r="D3057" s="915">
        <v>64441</v>
      </c>
      <c r="E3057" s="914"/>
      <c r="F3057" s="865"/>
      <c r="G3057" s="866"/>
      <c r="H3057" s="840">
        <f t="shared" si="94"/>
        <v>0</v>
      </c>
      <c r="I3057" s="840">
        <f t="shared" si="95"/>
        <v>128882</v>
      </c>
    </row>
    <row r="3058" spans="1:9" ht="75">
      <c r="A3058" s="1079"/>
      <c r="B3058" s="535" t="s">
        <v>2925</v>
      </c>
      <c r="C3058" s="915">
        <v>30000</v>
      </c>
      <c r="D3058" s="915">
        <v>30000</v>
      </c>
      <c r="E3058" s="915"/>
      <c r="F3058" s="865"/>
      <c r="G3058" s="866"/>
      <c r="H3058" s="840">
        <f t="shared" si="94"/>
        <v>0</v>
      </c>
      <c r="I3058" s="840">
        <f t="shared" si="95"/>
        <v>60000</v>
      </c>
    </row>
    <row r="3059" spans="1:9" ht="75">
      <c r="A3059" s="1079"/>
      <c r="B3059" s="535" t="s">
        <v>2926</v>
      </c>
      <c r="C3059" s="915">
        <v>15000</v>
      </c>
      <c r="D3059" s="915">
        <v>15000</v>
      </c>
      <c r="E3059" s="914"/>
      <c r="F3059" s="865"/>
      <c r="G3059" s="866"/>
      <c r="H3059" s="840">
        <f t="shared" si="94"/>
        <v>0</v>
      </c>
      <c r="I3059" s="840">
        <f t="shared" si="95"/>
        <v>30000</v>
      </c>
    </row>
    <row r="3060" spans="1:9" ht="56.25">
      <c r="A3060" s="1079"/>
      <c r="B3060" s="475" t="s">
        <v>2927</v>
      </c>
      <c r="C3060" s="905">
        <v>45000</v>
      </c>
      <c r="D3060" s="905">
        <v>45000</v>
      </c>
      <c r="E3060" s="905"/>
      <c r="F3060" s="865"/>
      <c r="G3060" s="866"/>
      <c r="H3060" s="840">
        <f t="shared" si="94"/>
        <v>0</v>
      </c>
      <c r="I3060" s="840">
        <f t="shared" si="95"/>
        <v>90000</v>
      </c>
    </row>
    <row r="3061" spans="1:9" hidden="1">
      <c r="A3061" s="1079"/>
      <c r="B3061" s="475"/>
      <c r="C3061" s="916"/>
      <c r="D3061" s="916"/>
      <c r="E3061" s="905"/>
      <c r="F3061" s="865"/>
      <c r="G3061" s="866"/>
      <c r="H3061" s="840">
        <f t="shared" si="94"/>
        <v>0</v>
      </c>
      <c r="I3061" s="840">
        <f t="shared" si="95"/>
        <v>0</v>
      </c>
    </row>
    <row r="3062" spans="1:9" hidden="1">
      <c r="A3062" s="1079"/>
      <c r="B3062" s="475"/>
      <c r="C3062" s="916"/>
      <c r="D3062" s="916"/>
      <c r="E3062" s="905"/>
      <c r="F3062" s="865"/>
      <c r="G3062" s="866"/>
      <c r="H3062" s="840">
        <f t="shared" si="94"/>
        <v>0</v>
      </c>
      <c r="I3062" s="840">
        <f t="shared" si="95"/>
        <v>0</v>
      </c>
    </row>
    <row r="3063" spans="1:9" hidden="1">
      <c r="A3063" s="1079"/>
      <c r="B3063" s="475"/>
      <c r="C3063" s="916"/>
      <c r="D3063" s="916"/>
      <c r="E3063" s="905"/>
      <c r="F3063" s="865"/>
      <c r="G3063" s="866"/>
      <c r="H3063" s="840">
        <f t="shared" si="94"/>
        <v>0</v>
      </c>
      <c r="I3063" s="840">
        <f t="shared" si="95"/>
        <v>0</v>
      </c>
    </row>
    <row r="3064" spans="1:9" hidden="1">
      <c r="A3064" s="1079"/>
      <c r="B3064" s="475"/>
      <c r="C3064" s="916"/>
      <c r="D3064" s="916"/>
      <c r="E3064" s="905"/>
      <c r="F3064" s="865"/>
      <c r="G3064" s="866"/>
      <c r="H3064" s="840">
        <f t="shared" si="94"/>
        <v>0</v>
      </c>
      <c r="I3064" s="840">
        <f t="shared" si="95"/>
        <v>0</v>
      </c>
    </row>
    <row r="3065" spans="1:9" hidden="1">
      <c r="A3065" s="1079"/>
      <c r="B3065" s="895"/>
      <c r="C3065" s="905"/>
      <c r="D3065" s="905"/>
      <c r="E3065" s="905"/>
      <c r="F3065" s="865"/>
      <c r="G3065" s="866"/>
      <c r="H3065" s="840">
        <f t="shared" si="94"/>
        <v>0</v>
      </c>
      <c r="I3065" s="840">
        <f t="shared" si="95"/>
        <v>0</v>
      </c>
    </row>
    <row r="3066" spans="1:9" hidden="1">
      <c r="A3066" s="1079"/>
      <c r="B3066" s="895"/>
      <c r="C3066" s="905"/>
      <c r="D3066" s="905"/>
      <c r="E3066" s="905"/>
      <c r="F3066" s="865"/>
      <c r="G3066" s="866"/>
      <c r="H3066" s="840">
        <f t="shared" si="94"/>
        <v>0</v>
      </c>
      <c r="I3066" s="840">
        <f t="shared" si="95"/>
        <v>0</v>
      </c>
    </row>
    <row r="3067" spans="1:9" hidden="1">
      <c r="A3067" s="1079"/>
      <c r="B3067" s="475"/>
      <c r="C3067" s="916"/>
      <c r="D3067" s="916"/>
      <c r="E3067" s="905"/>
      <c r="F3067" s="865"/>
      <c r="G3067" s="866"/>
      <c r="H3067" s="840">
        <f t="shared" si="94"/>
        <v>0</v>
      </c>
      <c r="I3067" s="840">
        <f t="shared" si="95"/>
        <v>0</v>
      </c>
    </row>
    <row r="3068" spans="1:9" hidden="1">
      <c r="A3068" s="1079"/>
      <c r="B3068" s="475"/>
      <c r="C3068" s="916"/>
      <c r="D3068" s="916"/>
      <c r="E3068" s="905"/>
      <c r="F3068" s="865"/>
      <c r="G3068" s="866"/>
      <c r="H3068" s="840">
        <f t="shared" si="94"/>
        <v>0</v>
      </c>
      <c r="I3068" s="840">
        <f t="shared" si="95"/>
        <v>0</v>
      </c>
    </row>
    <row r="3069" spans="1:9" hidden="1">
      <c r="A3069" s="1079"/>
      <c r="B3069" s="475"/>
      <c r="C3069" s="916"/>
      <c r="D3069" s="916"/>
      <c r="E3069" s="905"/>
      <c r="F3069" s="865"/>
      <c r="G3069" s="866"/>
      <c r="H3069" s="840">
        <f t="shared" si="94"/>
        <v>0</v>
      </c>
      <c r="I3069" s="840">
        <f t="shared" si="95"/>
        <v>0</v>
      </c>
    </row>
    <row r="3070" spans="1:9" hidden="1">
      <c r="A3070" s="1079"/>
      <c r="B3070" s="475"/>
      <c r="C3070" s="916"/>
      <c r="D3070" s="916"/>
      <c r="E3070" s="905"/>
      <c r="F3070" s="865"/>
      <c r="G3070" s="866"/>
      <c r="H3070" s="840">
        <f t="shared" si="94"/>
        <v>0</v>
      </c>
      <c r="I3070" s="840">
        <f t="shared" si="95"/>
        <v>0</v>
      </c>
    </row>
    <row r="3071" spans="1:9" hidden="1">
      <c r="A3071" s="1079"/>
      <c r="B3071" s="475"/>
      <c r="C3071" s="916"/>
      <c r="D3071" s="916"/>
      <c r="E3071" s="905"/>
      <c r="F3071" s="865"/>
      <c r="G3071" s="866"/>
      <c r="H3071" s="840">
        <f t="shared" si="94"/>
        <v>0</v>
      </c>
      <c r="I3071" s="840">
        <f t="shared" si="95"/>
        <v>0</v>
      </c>
    </row>
    <row r="3072" spans="1:9" hidden="1">
      <c r="A3072" s="1079"/>
      <c r="B3072" s="475"/>
      <c r="C3072" s="916"/>
      <c r="D3072" s="916"/>
      <c r="E3072" s="905"/>
      <c r="F3072" s="865"/>
      <c r="G3072" s="866"/>
      <c r="H3072" s="840">
        <f t="shared" si="94"/>
        <v>0</v>
      </c>
      <c r="I3072" s="840">
        <f t="shared" si="95"/>
        <v>0</v>
      </c>
    </row>
    <row r="3073" spans="1:9" hidden="1">
      <c r="A3073" s="1079"/>
      <c r="B3073" s="895"/>
      <c r="C3073" s="905"/>
      <c r="D3073" s="931"/>
      <c r="E3073" s="931"/>
      <c r="F3073" s="865"/>
      <c r="G3073" s="866"/>
      <c r="H3073" s="840">
        <f t="shared" si="94"/>
        <v>0</v>
      </c>
      <c r="I3073" s="840">
        <f t="shared" si="95"/>
        <v>0</v>
      </c>
    </row>
    <row r="3074" spans="1:9" hidden="1">
      <c r="A3074" s="1079"/>
      <c r="B3074" s="475"/>
      <c r="C3074" s="916"/>
      <c r="D3074" s="916"/>
      <c r="E3074" s="905"/>
      <c r="F3074" s="865"/>
      <c r="G3074" s="866"/>
      <c r="H3074" s="840">
        <f t="shared" si="94"/>
        <v>0</v>
      </c>
      <c r="I3074" s="840">
        <f t="shared" si="95"/>
        <v>0</v>
      </c>
    </row>
    <row r="3075" spans="1:9" hidden="1">
      <c r="A3075" s="1079"/>
      <c r="B3075" s="475"/>
      <c r="C3075" s="916"/>
      <c r="D3075" s="916"/>
      <c r="E3075" s="905"/>
      <c r="F3075" s="865"/>
      <c r="G3075" s="866"/>
      <c r="H3075" s="840">
        <f t="shared" si="94"/>
        <v>0</v>
      </c>
      <c r="I3075" s="840">
        <f t="shared" si="95"/>
        <v>0</v>
      </c>
    </row>
    <row r="3076" spans="1:9" hidden="1">
      <c r="A3076" s="1079"/>
      <c r="B3076" s="475"/>
      <c r="C3076" s="916"/>
      <c r="D3076" s="916"/>
      <c r="E3076" s="905"/>
      <c r="F3076" s="865"/>
      <c r="G3076" s="866"/>
      <c r="H3076" s="840">
        <f t="shared" si="94"/>
        <v>0</v>
      </c>
      <c r="I3076" s="840">
        <f t="shared" si="95"/>
        <v>0</v>
      </c>
    </row>
    <row r="3077" spans="1:9" hidden="1">
      <c r="A3077" s="1079"/>
      <c r="B3077" s="475"/>
      <c r="C3077" s="916"/>
      <c r="D3077" s="916"/>
      <c r="E3077" s="905"/>
      <c r="F3077" s="865"/>
      <c r="G3077" s="866"/>
      <c r="H3077" s="840">
        <f t="shared" si="94"/>
        <v>0</v>
      </c>
      <c r="I3077" s="840">
        <f t="shared" si="95"/>
        <v>0</v>
      </c>
    </row>
    <row r="3078" spans="1:9" hidden="1">
      <c r="A3078" s="1079"/>
      <c r="B3078" s="475"/>
      <c r="C3078" s="916"/>
      <c r="D3078" s="916"/>
      <c r="E3078" s="905"/>
      <c r="F3078" s="865"/>
      <c r="G3078" s="866"/>
      <c r="H3078" s="840">
        <f t="shared" si="94"/>
        <v>0</v>
      </c>
      <c r="I3078" s="840">
        <f t="shared" si="95"/>
        <v>0</v>
      </c>
    </row>
    <row r="3079" spans="1:9">
      <c r="A3079" s="1148"/>
      <c r="B3079" s="461" t="s">
        <v>253</v>
      </c>
      <c r="C3079" s="919">
        <f>SUM(C3028:C3078)</f>
        <v>1413919</v>
      </c>
      <c r="D3079" s="919">
        <f>SUM(D3028:D3078)</f>
        <v>1084919</v>
      </c>
      <c r="E3079" s="919">
        <f>SUM(E3028:E3078)</f>
        <v>329000</v>
      </c>
      <c r="F3079" s="865"/>
      <c r="G3079" s="866"/>
      <c r="H3079" s="840">
        <f t="shared" si="94"/>
        <v>0</v>
      </c>
      <c r="I3079" s="840">
        <f t="shared" si="95"/>
        <v>2827838</v>
      </c>
    </row>
    <row r="3080" spans="1:9" ht="93.75">
      <c r="A3080" s="1078" t="s">
        <v>53</v>
      </c>
      <c r="B3080" s="475" t="s">
        <v>1110</v>
      </c>
      <c r="C3080" s="905">
        <v>300000</v>
      </c>
      <c r="D3080" s="905">
        <v>300000</v>
      </c>
      <c r="E3080" s="905"/>
      <c r="F3080" s="865"/>
      <c r="G3080" s="866"/>
      <c r="H3080" s="840">
        <f t="shared" si="94"/>
        <v>0</v>
      </c>
      <c r="I3080" s="840">
        <f t="shared" si="95"/>
        <v>600000</v>
      </c>
    </row>
    <row r="3081" spans="1:9" ht="75">
      <c r="A3081" s="1079"/>
      <c r="B3081" s="475" t="s">
        <v>1472</v>
      </c>
      <c r="C3081" s="530">
        <v>15000</v>
      </c>
      <c r="D3081" s="530">
        <v>15000</v>
      </c>
      <c r="E3081" s="905"/>
      <c r="F3081" s="865"/>
      <c r="G3081" s="866"/>
      <c r="H3081" s="840">
        <f t="shared" ref="H3081:H3144" si="96">E3081+D3081-C3081</f>
        <v>0</v>
      </c>
      <c r="I3081" s="840">
        <f t="shared" ref="I3081:I3144" si="97">SUM(C3081:E3081)</f>
        <v>30000</v>
      </c>
    </row>
    <row r="3082" spans="1:9" ht="75">
      <c r="A3082" s="1079"/>
      <c r="B3082" s="475" t="s">
        <v>1473</v>
      </c>
      <c r="C3082" s="530">
        <v>15000</v>
      </c>
      <c r="D3082" s="530"/>
      <c r="E3082" s="905">
        <v>15000</v>
      </c>
      <c r="F3082" s="865"/>
      <c r="G3082" s="866"/>
      <c r="H3082" s="840">
        <f t="shared" si="96"/>
        <v>0</v>
      </c>
      <c r="I3082" s="840">
        <f t="shared" si="97"/>
        <v>30000</v>
      </c>
    </row>
    <row r="3083" spans="1:9" ht="37.5">
      <c r="A3083" s="1079"/>
      <c r="B3083" s="475" t="s">
        <v>1474</v>
      </c>
      <c r="C3083" s="530">
        <v>20000</v>
      </c>
      <c r="D3083" s="530">
        <v>20000</v>
      </c>
      <c r="E3083" s="905"/>
      <c r="F3083" s="865"/>
      <c r="G3083" s="866"/>
      <c r="H3083" s="840">
        <f t="shared" si="96"/>
        <v>0</v>
      </c>
      <c r="I3083" s="840">
        <f t="shared" si="97"/>
        <v>40000</v>
      </c>
    </row>
    <row r="3084" spans="1:9" ht="112.5">
      <c r="A3084" s="1079"/>
      <c r="B3084" s="475" t="s">
        <v>1475</v>
      </c>
      <c r="C3084" s="530">
        <v>25000</v>
      </c>
      <c r="D3084" s="530">
        <v>25000</v>
      </c>
      <c r="E3084" s="905"/>
      <c r="F3084" s="865"/>
      <c r="G3084" s="866"/>
      <c r="H3084" s="840">
        <f t="shared" si="96"/>
        <v>0</v>
      </c>
      <c r="I3084" s="840">
        <f t="shared" si="97"/>
        <v>50000</v>
      </c>
    </row>
    <row r="3085" spans="1:9" ht="150">
      <c r="A3085" s="1079"/>
      <c r="B3085" s="475" t="s">
        <v>1476</v>
      </c>
      <c r="C3085" s="530">
        <v>55798</v>
      </c>
      <c r="D3085" s="530">
        <v>55798</v>
      </c>
      <c r="E3085" s="905"/>
      <c r="F3085" s="865"/>
      <c r="G3085" s="866"/>
      <c r="H3085" s="840">
        <f t="shared" si="96"/>
        <v>0</v>
      </c>
      <c r="I3085" s="840">
        <f t="shared" si="97"/>
        <v>111596</v>
      </c>
    </row>
    <row r="3086" spans="1:9" ht="75">
      <c r="A3086" s="1079"/>
      <c r="B3086" s="475" t="s">
        <v>1477</v>
      </c>
      <c r="C3086" s="530">
        <v>15000</v>
      </c>
      <c r="D3086" s="530">
        <v>15000</v>
      </c>
      <c r="E3086" s="905"/>
      <c r="F3086" s="865"/>
      <c r="G3086" s="866"/>
      <c r="H3086" s="840">
        <f t="shared" si="96"/>
        <v>0</v>
      </c>
      <c r="I3086" s="840">
        <f t="shared" si="97"/>
        <v>30000</v>
      </c>
    </row>
    <row r="3087" spans="1:9" ht="93.75">
      <c r="A3087" s="1079"/>
      <c r="B3087" s="475" t="s">
        <v>2342</v>
      </c>
      <c r="C3087" s="911">
        <v>600000</v>
      </c>
      <c r="D3087" s="911"/>
      <c r="E3087" s="911">
        <v>600000</v>
      </c>
      <c r="F3087" s="854"/>
      <c r="G3087" s="854"/>
      <c r="H3087" s="840">
        <f t="shared" si="96"/>
        <v>0</v>
      </c>
      <c r="I3087" s="840">
        <f t="shared" si="97"/>
        <v>1200000</v>
      </c>
    </row>
    <row r="3088" spans="1:9" ht="112.5">
      <c r="A3088" s="1079"/>
      <c r="B3088" s="475" t="s">
        <v>2197</v>
      </c>
      <c r="C3088" s="905">
        <v>60605</v>
      </c>
      <c r="D3088" s="905">
        <v>15605</v>
      </c>
      <c r="E3088" s="905">
        <v>45000</v>
      </c>
      <c r="F3088" s="865"/>
      <c r="G3088" s="866"/>
      <c r="H3088" s="840">
        <f t="shared" si="96"/>
        <v>0</v>
      </c>
      <c r="I3088" s="840">
        <f t="shared" si="97"/>
        <v>121210</v>
      </c>
    </row>
    <row r="3089" spans="1:9" ht="93.75">
      <c r="A3089" s="1079"/>
      <c r="B3089" s="475" t="s">
        <v>2198</v>
      </c>
      <c r="C3089" s="905">
        <v>95000</v>
      </c>
      <c r="D3089" s="905">
        <v>95000</v>
      </c>
      <c r="E3089" s="905"/>
      <c r="F3089" s="865"/>
      <c r="G3089" s="866"/>
      <c r="H3089" s="840">
        <f t="shared" si="96"/>
        <v>0</v>
      </c>
      <c r="I3089" s="840">
        <f t="shared" si="97"/>
        <v>190000</v>
      </c>
    </row>
    <row r="3090" spans="1:9" ht="75">
      <c r="A3090" s="1079"/>
      <c r="B3090" s="475" t="s">
        <v>2199</v>
      </c>
      <c r="C3090" s="905">
        <v>10000</v>
      </c>
      <c r="D3090" s="905">
        <v>10000</v>
      </c>
      <c r="E3090" s="905"/>
      <c r="F3090" s="865"/>
      <c r="G3090" s="866"/>
      <c r="H3090" s="840">
        <f t="shared" si="96"/>
        <v>0</v>
      </c>
      <c r="I3090" s="840">
        <f t="shared" si="97"/>
        <v>20000</v>
      </c>
    </row>
    <row r="3091" spans="1:9" ht="93.75">
      <c r="A3091" s="1079"/>
      <c r="B3091" s="475" t="s">
        <v>2200</v>
      </c>
      <c r="C3091" s="905">
        <v>12000</v>
      </c>
      <c r="D3091" s="905">
        <v>12000</v>
      </c>
      <c r="E3091" s="905"/>
      <c r="F3091" s="865"/>
      <c r="G3091" s="866"/>
      <c r="H3091" s="840">
        <f t="shared" si="96"/>
        <v>0</v>
      </c>
      <c r="I3091" s="840">
        <f t="shared" si="97"/>
        <v>24000</v>
      </c>
    </row>
    <row r="3092" spans="1:9" ht="56.25">
      <c r="A3092" s="1079"/>
      <c r="B3092" s="475" t="s">
        <v>2201</v>
      </c>
      <c r="C3092" s="908">
        <v>10000</v>
      </c>
      <c r="D3092" s="908">
        <v>10000</v>
      </c>
      <c r="E3092" s="905"/>
      <c r="F3092" s="865"/>
      <c r="G3092" s="866"/>
      <c r="H3092" s="840">
        <f t="shared" si="96"/>
        <v>0</v>
      </c>
      <c r="I3092" s="840">
        <f t="shared" si="97"/>
        <v>20000</v>
      </c>
    </row>
    <row r="3093" spans="1:9" ht="112.5">
      <c r="A3093" s="1079"/>
      <c r="B3093" s="475" t="s">
        <v>2928</v>
      </c>
      <c r="C3093" s="908">
        <v>60761</v>
      </c>
      <c r="D3093" s="908">
        <v>50761</v>
      </c>
      <c r="E3093" s="905">
        <v>10000</v>
      </c>
      <c r="F3093" s="865"/>
      <c r="G3093" s="866"/>
      <c r="H3093" s="840">
        <f t="shared" si="96"/>
        <v>0</v>
      </c>
      <c r="I3093" s="840">
        <f t="shared" si="97"/>
        <v>121522</v>
      </c>
    </row>
    <row r="3094" spans="1:9" ht="56.25">
      <c r="A3094" s="1079"/>
      <c r="B3094" s="475" t="s">
        <v>2929</v>
      </c>
      <c r="C3094" s="908">
        <v>10000</v>
      </c>
      <c r="D3094" s="908"/>
      <c r="E3094" s="905">
        <v>10000</v>
      </c>
      <c r="F3094" s="865"/>
      <c r="G3094" s="866"/>
      <c r="H3094" s="840">
        <f t="shared" si="96"/>
        <v>0</v>
      </c>
      <c r="I3094" s="840">
        <f t="shared" si="97"/>
        <v>20000</v>
      </c>
    </row>
    <row r="3095" spans="1:9" ht="56.25">
      <c r="A3095" s="1079"/>
      <c r="B3095" s="475" t="s">
        <v>2929</v>
      </c>
      <c r="C3095" s="908">
        <v>10000</v>
      </c>
      <c r="D3095" s="908"/>
      <c r="E3095" s="908">
        <v>10000</v>
      </c>
      <c r="F3095" s="865"/>
      <c r="G3095" s="866"/>
      <c r="H3095" s="840">
        <f t="shared" si="96"/>
        <v>0</v>
      </c>
      <c r="I3095" s="840">
        <f t="shared" si="97"/>
        <v>20000</v>
      </c>
    </row>
    <row r="3096" spans="1:9" ht="75">
      <c r="A3096" s="1079"/>
      <c r="B3096" s="475" t="s">
        <v>2930</v>
      </c>
      <c r="C3096" s="908">
        <v>10000</v>
      </c>
      <c r="D3096" s="908">
        <v>10000</v>
      </c>
      <c r="E3096" s="908"/>
      <c r="F3096" s="865"/>
      <c r="G3096" s="866"/>
      <c r="H3096" s="840">
        <f t="shared" si="96"/>
        <v>0</v>
      </c>
      <c r="I3096" s="840">
        <f t="shared" si="97"/>
        <v>20000</v>
      </c>
    </row>
    <row r="3097" spans="1:9" hidden="1">
      <c r="A3097" s="1079"/>
      <c r="B3097" s="475"/>
      <c r="C3097" s="916"/>
      <c r="D3097" s="916"/>
      <c r="E3097" s="905"/>
      <c r="F3097" s="865"/>
      <c r="G3097" s="866"/>
      <c r="H3097" s="840">
        <f t="shared" si="96"/>
        <v>0</v>
      </c>
      <c r="I3097" s="840">
        <f t="shared" si="97"/>
        <v>0</v>
      </c>
    </row>
    <row r="3098" spans="1:9" hidden="1">
      <c r="A3098" s="1079"/>
      <c r="B3098" s="475"/>
      <c r="C3098" s="916"/>
      <c r="D3098" s="916"/>
      <c r="E3098" s="905"/>
      <c r="F3098" s="865"/>
      <c r="G3098" s="866"/>
      <c r="H3098" s="840">
        <f t="shared" si="96"/>
        <v>0</v>
      </c>
      <c r="I3098" s="840">
        <f t="shared" si="97"/>
        <v>0</v>
      </c>
    </row>
    <row r="3099" spans="1:9" hidden="1">
      <c r="A3099" s="1079"/>
      <c r="B3099" s="475"/>
      <c r="C3099" s="916"/>
      <c r="D3099" s="916"/>
      <c r="E3099" s="905"/>
      <c r="F3099" s="865"/>
      <c r="G3099" s="866"/>
      <c r="H3099" s="840">
        <f t="shared" si="96"/>
        <v>0</v>
      </c>
      <c r="I3099" s="840">
        <f t="shared" si="97"/>
        <v>0</v>
      </c>
    </row>
    <row r="3100" spans="1:9" hidden="1">
      <c r="A3100" s="1079"/>
      <c r="B3100" s="475"/>
      <c r="C3100" s="916"/>
      <c r="D3100" s="916"/>
      <c r="E3100" s="905"/>
      <c r="F3100" s="865"/>
      <c r="G3100" s="866"/>
      <c r="H3100" s="840">
        <f t="shared" si="96"/>
        <v>0</v>
      </c>
      <c r="I3100" s="840">
        <f t="shared" si="97"/>
        <v>0</v>
      </c>
    </row>
    <row r="3101" spans="1:9" hidden="1">
      <c r="A3101" s="1079"/>
      <c r="B3101" s="475"/>
      <c r="C3101" s="916"/>
      <c r="D3101" s="916"/>
      <c r="E3101" s="905"/>
      <c r="F3101" s="865"/>
      <c r="G3101" s="866"/>
      <c r="H3101" s="840">
        <f t="shared" si="96"/>
        <v>0</v>
      </c>
      <c r="I3101" s="840">
        <f t="shared" si="97"/>
        <v>0</v>
      </c>
    </row>
    <row r="3102" spans="1:9" hidden="1">
      <c r="A3102" s="1079"/>
      <c r="B3102" s="475"/>
      <c r="C3102" s="916"/>
      <c r="D3102" s="916"/>
      <c r="E3102" s="905"/>
      <c r="F3102" s="865"/>
      <c r="G3102" s="866"/>
      <c r="H3102" s="840">
        <f t="shared" si="96"/>
        <v>0</v>
      </c>
      <c r="I3102" s="840">
        <f t="shared" si="97"/>
        <v>0</v>
      </c>
    </row>
    <row r="3103" spans="1:9" hidden="1">
      <c r="A3103" s="1079"/>
      <c r="B3103" s="475"/>
      <c r="C3103" s="916"/>
      <c r="D3103" s="916"/>
      <c r="E3103" s="905"/>
      <c r="F3103" s="865"/>
      <c r="G3103" s="866"/>
      <c r="H3103" s="840">
        <f t="shared" si="96"/>
        <v>0</v>
      </c>
      <c r="I3103" s="840">
        <f t="shared" si="97"/>
        <v>0</v>
      </c>
    </row>
    <row r="3104" spans="1:9" hidden="1">
      <c r="A3104" s="1079"/>
      <c r="B3104" s="475"/>
      <c r="C3104" s="916"/>
      <c r="D3104" s="916"/>
      <c r="E3104" s="905"/>
      <c r="F3104" s="865"/>
      <c r="G3104" s="866"/>
      <c r="H3104" s="840">
        <f t="shared" si="96"/>
        <v>0</v>
      </c>
      <c r="I3104" s="840">
        <f t="shared" si="97"/>
        <v>0</v>
      </c>
    </row>
    <row r="3105" spans="1:9" hidden="1">
      <c r="A3105" s="1079"/>
      <c r="B3105" s="475"/>
      <c r="C3105" s="916"/>
      <c r="D3105" s="916"/>
      <c r="E3105" s="905"/>
      <c r="F3105" s="865"/>
      <c r="G3105" s="866"/>
      <c r="H3105" s="840">
        <f t="shared" si="96"/>
        <v>0</v>
      </c>
      <c r="I3105" s="840">
        <f t="shared" si="97"/>
        <v>0</v>
      </c>
    </row>
    <row r="3106" spans="1:9" hidden="1">
      <c r="A3106" s="1079"/>
      <c r="B3106" s="475"/>
      <c r="C3106" s="916"/>
      <c r="D3106" s="916"/>
      <c r="E3106" s="905"/>
      <c r="F3106" s="865"/>
      <c r="G3106" s="866"/>
      <c r="H3106" s="840">
        <f t="shared" si="96"/>
        <v>0</v>
      </c>
      <c r="I3106" s="840">
        <f t="shared" si="97"/>
        <v>0</v>
      </c>
    </row>
    <row r="3107" spans="1:9" hidden="1">
      <c r="A3107" s="1079"/>
      <c r="B3107" s="475"/>
      <c r="C3107" s="916"/>
      <c r="D3107" s="916"/>
      <c r="E3107" s="905"/>
      <c r="F3107" s="865"/>
      <c r="G3107" s="866"/>
      <c r="H3107" s="840">
        <f t="shared" si="96"/>
        <v>0</v>
      </c>
      <c r="I3107" s="840">
        <f t="shared" si="97"/>
        <v>0</v>
      </c>
    </row>
    <row r="3108" spans="1:9" hidden="1">
      <c r="A3108" s="1079"/>
      <c r="B3108" s="475"/>
      <c r="C3108" s="916"/>
      <c r="D3108" s="916"/>
      <c r="E3108" s="905"/>
      <c r="F3108" s="865"/>
      <c r="G3108" s="866"/>
      <c r="H3108" s="840">
        <f t="shared" si="96"/>
        <v>0</v>
      </c>
      <c r="I3108" s="840">
        <f t="shared" si="97"/>
        <v>0</v>
      </c>
    </row>
    <row r="3109" spans="1:9" hidden="1">
      <c r="A3109" s="1079"/>
      <c r="B3109" s="475"/>
      <c r="C3109" s="916"/>
      <c r="D3109" s="916"/>
      <c r="E3109" s="905"/>
      <c r="F3109" s="865"/>
      <c r="G3109" s="866"/>
      <c r="H3109" s="840">
        <f t="shared" si="96"/>
        <v>0</v>
      </c>
      <c r="I3109" s="840">
        <f t="shared" si="97"/>
        <v>0</v>
      </c>
    </row>
    <row r="3110" spans="1:9" hidden="1">
      <c r="A3110" s="1079"/>
      <c r="B3110" s="475"/>
      <c r="C3110" s="916"/>
      <c r="D3110" s="916"/>
      <c r="E3110" s="905"/>
      <c r="F3110" s="865"/>
      <c r="G3110" s="866"/>
      <c r="H3110" s="840">
        <f t="shared" si="96"/>
        <v>0</v>
      </c>
      <c r="I3110" s="840">
        <f t="shared" si="97"/>
        <v>0</v>
      </c>
    </row>
    <row r="3111" spans="1:9" hidden="1">
      <c r="A3111" s="1079"/>
      <c r="B3111" s="475"/>
      <c r="C3111" s="916"/>
      <c r="D3111" s="916"/>
      <c r="E3111" s="905"/>
      <c r="F3111" s="865"/>
      <c r="G3111" s="866"/>
      <c r="H3111" s="840">
        <f t="shared" si="96"/>
        <v>0</v>
      </c>
      <c r="I3111" s="840">
        <f t="shared" si="97"/>
        <v>0</v>
      </c>
    </row>
    <row r="3112" spans="1:9" hidden="1">
      <c r="A3112" s="1079"/>
      <c r="B3112" s="475"/>
      <c r="C3112" s="916"/>
      <c r="D3112" s="916"/>
      <c r="E3112" s="905"/>
      <c r="F3112" s="865"/>
      <c r="G3112" s="866"/>
      <c r="H3112" s="840">
        <f t="shared" si="96"/>
        <v>0</v>
      </c>
      <c r="I3112" s="840">
        <f t="shared" si="97"/>
        <v>0</v>
      </c>
    </row>
    <row r="3113" spans="1:9" hidden="1">
      <c r="A3113" s="1079"/>
      <c r="B3113" s="475"/>
      <c r="C3113" s="916"/>
      <c r="D3113" s="916"/>
      <c r="E3113" s="905"/>
      <c r="F3113" s="865"/>
      <c r="G3113" s="866"/>
      <c r="H3113" s="840">
        <f t="shared" si="96"/>
        <v>0</v>
      </c>
      <c r="I3113" s="840">
        <f t="shared" si="97"/>
        <v>0</v>
      </c>
    </row>
    <row r="3114" spans="1:9">
      <c r="A3114" s="1148"/>
      <c r="B3114" s="461" t="s">
        <v>253</v>
      </c>
      <c r="C3114" s="919">
        <f>SUM(C3080:C3113)</f>
        <v>1324164</v>
      </c>
      <c r="D3114" s="919">
        <f>SUM(D3080:D3113)</f>
        <v>634164</v>
      </c>
      <c r="E3114" s="919">
        <f>SUM(E3080:E3113)</f>
        <v>690000</v>
      </c>
      <c r="F3114" s="865"/>
      <c r="G3114" s="866"/>
      <c r="H3114" s="840">
        <f t="shared" si="96"/>
        <v>0</v>
      </c>
      <c r="I3114" s="840">
        <f t="shared" si="97"/>
        <v>2648328</v>
      </c>
    </row>
    <row r="3115" spans="1:9" ht="37.5">
      <c r="A3115" s="1078" t="s">
        <v>137</v>
      </c>
      <c r="B3115" s="535" t="s">
        <v>1111</v>
      </c>
      <c r="C3115" s="905">
        <v>10000</v>
      </c>
      <c r="D3115" s="905"/>
      <c r="E3115" s="905">
        <v>10000</v>
      </c>
      <c r="F3115" s="865"/>
      <c r="G3115" s="866"/>
      <c r="H3115" s="840">
        <f t="shared" si="96"/>
        <v>0</v>
      </c>
      <c r="I3115" s="840">
        <f t="shared" si="97"/>
        <v>20000</v>
      </c>
    </row>
    <row r="3116" spans="1:9" ht="75">
      <c r="A3116" s="1079"/>
      <c r="B3116" s="535" t="s">
        <v>1112</v>
      </c>
      <c r="C3116" s="905">
        <v>30000</v>
      </c>
      <c r="D3116" s="905">
        <v>15000</v>
      </c>
      <c r="E3116" s="905">
        <v>15000</v>
      </c>
      <c r="F3116" s="865"/>
      <c r="G3116" s="866"/>
      <c r="H3116" s="840">
        <f t="shared" si="96"/>
        <v>0</v>
      </c>
      <c r="I3116" s="840">
        <f t="shared" si="97"/>
        <v>60000</v>
      </c>
    </row>
    <row r="3117" spans="1:9" ht="37.5">
      <c r="A3117" s="1079"/>
      <c r="B3117" s="475" t="s">
        <v>1478</v>
      </c>
      <c r="C3117" s="530">
        <v>10000</v>
      </c>
      <c r="D3117" s="530"/>
      <c r="E3117" s="530">
        <v>10000</v>
      </c>
      <c r="F3117" s="865"/>
      <c r="G3117" s="866"/>
      <c r="H3117" s="840">
        <f t="shared" si="96"/>
        <v>0</v>
      </c>
      <c r="I3117" s="840">
        <f t="shared" si="97"/>
        <v>20000</v>
      </c>
    </row>
    <row r="3118" spans="1:9" ht="56.25">
      <c r="A3118" s="1079"/>
      <c r="B3118" s="475" t="s">
        <v>1479</v>
      </c>
      <c r="C3118" s="530">
        <v>10000</v>
      </c>
      <c r="D3118" s="530"/>
      <c r="E3118" s="530">
        <v>10000</v>
      </c>
      <c r="F3118" s="865"/>
      <c r="G3118" s="866"/>
      <c r="H3118" s="840">
        <f t="shared" si="96"/>
        <v>0</v>
      </c>
      <c r="I3118" s="840">
        <f t="shared" si="97"/>
        <v>20000</v>
      </c>
    </row>
    <row r="3119" spans="1:9" ht="93.75">
      <c r="A3119" s="1079"/>
      <c r="B3119" s="535" t="s">
        <v>2202</v>
      </c>
      <c r="C3119" s="908">
        <v>17000</v>
      </c>
      <c r="D3119" s="908"/>
      <c r="E3119" s="905">
        <v>17000</v>
      </c>
      <c r="F3119" s="865"/>
      <c r="G3119" s="866"/>
      <c r="H3119" s="840">
        <f t="shared" si="96"/>
        <v>0</v>
      </c>
      <c r="I3119" s="840">
        <f t="shared" si="97"/>
        <v>34000</v>
      </c>
    </row>
    <row r="3120" spans="1:9" ht="93.75">
      <c r="A3120" s="1079"/>
      <c r="B3120" s="535" t="s">
        <v>2203</v>
      </c>
      <c r="C3120" s="908">
        <v>11938</v>
      </c>
      <c r="D3120" s="908">
        <v>5906</v>
      </c>
      <c r="E3120" s="905">
        <v>6032</v>
      </c>
      <c r="F3120" s="865"/>
      <c r="G3120" s="866"/>
      <c r="H3120" s="840">
        <f t="shared" si="96"/>
        <v>0</v>
      </c>
      <c r="I3120" s="840">
        <f t="shared" si="97"/>
        <v>23876</v>
      </c>
    </row>
    <row r="3121" spans="1:9" ht="93.75">
      <c r="A3121" s="1079"/>
      <c r="B3121" s="475" t="s">
        <v>2931</v>
      </c>
      <c r="C3121" s="914">
        <v>12000</v>
      </c>
      <c r="D3121" s="914">
        <v>12000</v>
      </c>
      <c r="E3121" s="914"/>
      <c r="F3121" s="865"/>
      <c r="G3121" s="866"/>
      <c r="H3121" s="840">
        <f t="shared" si="96"/>
        <v>0</v>
      </c>
      <c r="I3121" s="840">
        <f t="shared" si="97"/>
        <v>24000</v>
      </c>
    </row>
    <row r="3122" spans="1:9" hidden="1">
      <c r="A3122" s="1079"/>
      <c r="B3122" s="475"/>
      <c r="C3122" s="916"/>
      <c r="D3122" s="916"/>
      <c r="E3122" s="905"/>
      <c r="F3122" s="865"/>
      <c r="G3122" s="866"/>
      <c r="H3122" s="840">
        <f t="shared" si="96"/>
        <v>0</v>
      </c>
      <c r="I3122" s="840">
        <f t="shared" si="97"/>
        <v>0</v>
      </c>
    </row>
    <row r="3123" spans="1:9" hidden="1">
      <c r="A3123" s="1079"/>
      <c r="B3123" s="475"/>
      <c r="C3123" s="916"/>
      <c r="D3123" s="916"/>
      <c r="E3123" s="905"/>
      <c r="F3123" s="865"/>
      <c r="G3123" s="866"/>
      <c r="H3123" s="840">
        <f t="shared" si="96"/>
        <v>0</v>
      </c>
      <c r="I3123" s="840">
        <f t="shared" si="97"/>
        <v>0</v>
      </c>
    </row>
    <row r="3124" spans="1:9" hidden="1">
      <c r="A3124" s="1079"/>
      <c r="B3124" s="475"/>
      <c r="C3124" s="916"/>
      <c r="D3124" s="916"/>
      <c r="E3124" s="905"/>
      <c r="F3124" s="865"/>
      <c r="G3124" s="866"/>
      <c r="H3124" s="840">
        <f t="shared" si="96"/>
        <v>0</v>
      </c>
      <c r="I3124" s="840">
        <f t="shared" si="97"/>
        <v>0</v>
      </c>
    </row>
    <row r="3125" spans="1:9" hidden="1">
      <c r="A3125" s="1079"/>
      <c r="B3125" s="475"/>
      <c r="C3125" s="916"/>
      <c r="D3125" s="916"/>
      <c r="E3125" s="905"/>
      <c r="F3125" s="865"/>
      <c r="G3125" s="866"/>
      <c r="H3125" s="840">
        <f t="shared" si="96"/>
        <v>0</v>
      </c>
      <c r="I3125" s="840">
        <f t="shared" si="97"/>
        <v>0</v>
      </c>
    </row>
    <row r="3126" spans="1:9" hidden="1">
      <c r="A3126" s="1079"/>
      <c r="B3126" s="475"/>
      <c r="C3126" s="916"/>
      <c r="D3126" s="916"/>
      <c r="E3126" s="905"/>
      <c r="F3126" s="865"/>
      <c r="G3126" s="866"/>
      <c r="H3126" s="840">
        <f t="shared" si="96"/>
        <v>0</v>
      </c>
      <c r="I3126" s="840">
        <f t="shared" si="97"/>
        <v>0</v>
      </c>
    </row>
    <row r="3127" spans="1:9" hidden="1">
      <c r="A3127" s="1079"/>
      <c r="B3127" s="475"/>
      <c r="C3127" s="916"/>
      <c r="D3127" s="916"/>
      <c r="E3127" s="905"/>
      <c r="F3127" s="865"/>
      <c r="G3127" s="866"/>
      <c r="H3127" s="840">
        <f t="shared" si="96"/>
        <v>0</v>
      </c>
      <c r="I3127" s="840">
        <f t="shared" si="97"/>
        <v>0</v>
      </c>
    </row>
    <row r="3128" spans="1:9" hidden="1">
      <c r="A3128" s="1079"/>
      <c r="B3128" s="475"/>
      <c r="C3128" s="916"/>
      <c r="D3128" s="916"/>
      <c r="E3128" s="905"/>
      <c r="F3128" s="865"/>
      <c r="G3128" s="866"/>
      <c r="H3128" s="840">
        <f t="shared" si="96"/>
        <v>0</v>
      </c>
      <c r="I3128" s="840">
        <f t="shared" si="97"/>
        <v>0</v>
      </c>
    </row>
    <row r="3129" spans="1:9" hidden="1">
      <c r="A3129" s="1079"/>
      <c r="B3129" s="475"/>
      <c r="C3129" s="916"/>
      <c r="D3129" s="916"/>
      <c r="E3129" s="905"/>
      <c r="F3129" s="865"/>
      <c r="G3129" s="866"/>
      <c r="H3129" s="840">
        <f t="shared" si="96"/>
        <v>0</v>
      </c>
      <c r="I3129" s="840">
        <f t="shared" si="97"/>
        <v>0</v>
      </c>
    </row>
    <row r="3130" spans="1:9" hidden="1">
      <c r="A3130" s="1079"/>
      <c r="B3130" s="475"/>
      <c r="C3130" s="916"/>
      <c r="D3130" s="916"/>
      <c r="E3130" s="905"/>
      <c r="F3130" s="865"/>
      <c r="G3130" s="866"/>
      <c r="H3130" s="840">
        <f t="shared" si="96"/>
        <v>0</v>
      </c>
      <c r="I3130" s="840">
        <f t="shared" si="97"/>
        <v>0</v>
      </c>
    </row>
    <row r="3131" spans="1:9" hidden="1">
      <c r="A3131" s="1079"/>
      <c r="B3131" s="475"/>
      <c r="C3131" s="916"/>
      <c r="D3131" s="916"/>
      <c r="E3131" s="905"/>
      <c r="F3131" s="865"/>
      <c r="G3131" s="866"/>
      <c r="H3131" s="840">
        <f t="shared" si="96"/>
        <v>0</v>
      </c>
      <c r="I3131" s="840">
        <f t="shared" si="97"/>
        <v>0</v>
      </c>
    </row>
    <row r="3132" spans="1:9" hidden="1">
      <c r="A3132" s="1079"/>
      <c r="B3132" s="475"/>
      <c r="C3132" s="916"/>
      <c r="D3132" s="916"/>
      <c r="E3132" s="905"/>
      <c r="F3132" s="865"/>
      <c r="G3132" s="866"/>
      <c r="H3132" s="840">
        <f t="shared" si="96"/>
        <v>0</v>
      </c>
      <c r="I3132" s="840">
        <f t="shared" si="97"/>
        <v>0</v>
      </c>
    </row>
    <row r="3133" spans="1:9" hidden="1">
      <c r="A3133" s="1079"/>
      <c r="B3133" s="475"/>
      <c r="C3133" s="916"/>
      <c r="D3133" s="916"/>
      <c r="E3133" s="905"/>
      <c r="F3133" s="865"/>
      <c r="G3133" s="866"/>
      <c r="H3133" s="840">
        <f t="shared" si="96"/>
        <v>0</v>
      </c>
      <c r="I3133" s="840">
        <f t="shared" si="97"/>
        <v>0</v>
      </c>
    </row>
    <row r="3134" spans="1:9" hidden="1">
      <c r="A3134" s="1079"/>
      <c r="B3134" s="475"/>
      <c r="C3134" s="916"/>
      <c r="D3134" s="916"/>
      <c r="E3134" s="905"/>
      <c r="F3134" s="865"/>
      <c r="G3134" s="866"/>
      <c r="H3134" s="840">
        <f t="shared" si="96"/>
        <v>0</v>
      </c>
      <c r="I3134" s="840">
        <f t="shared" si="97"/>
        <v>0</v>
      </c>
    </row>
    <row r="3135" spans="1:9" hidden="1">
      <c r="A3135" s="1079"/>
      <c r="B3135" s="475"/>
      <c r="C3135" s="916"/>
      <c r="D3135" s="916"/>
      <c r="E3135" s="905"/>
      <c r="F3135" s="865"/>
      <c r="G3135" s="866"/>
      <c r="H3135" s="840">
        <f t="shared" si="96"/>
        <v>0</v>
      </c>
      <c r="I3135" s="840">
        <f t="shared" si="97"/>
        <v>0</v>
      </c>
    </row>
    <row r="3136" spans="1:9" hidden="1">
      <c r="A3136" s="1079"/>
      <c r="B3136" s="475"/>
      <c r="C3136" s="916"/>
      <c r="D3136" s="916"/>
      <c r="E3136" s="905"/>
      <c r="F3136" s="865"/>
      <c r="G3136" s="866"/>
      <c r="H3136" s="840">
        <f t="shared" si="96"/>
        <v>0</v>
      </c>
      <c r="I3136" s="840">
        <f t="shared" si="97"/>
        <v>0</v>
      </c>
    </row>
    <row r="3137" spans="1:9" hidden="1">
      <c r="A3137" s="1079"/>
      <c r="B3137" s="475"/>
      <c r="C3137" s="916"/>
      <c r="D3137" s="916"/>
      <c r="E3137" s="905"/>
      <c r="F3137" s="865"/>
      <c r="G3137" s="866"/>
      <c r="H3137" s="840">
        <f t="shared" si="96"/>
        <v>0</v>
      </c>
      <c r="I3137" s="840">
        <f t="shared" si="97"/>
        <v>0</v>
      </c>
    </row>
    <row r="3138" spans="1:9" hidden="1">
      <c r="A3138" s="1079"/>
      <c r="B3138" s="475"/>
      <c r="C3138" s="916"/>
      <c r="D3138" s="916"/>
      <c r="E3138" s="905"/>
      <c r="F3138" s="865"/>
      <c r="G3138" s="866"/>
      <c r="H3138" s="840">
        <f t="shared" si="96"/>
        <v>0</v>
      </c>
      <c r="I3138" s="840">
        <f t="shared" si="97"/>
        <v>0</v>
      </c>
    </row>
    <row r="3139" spans="1:9" hidden="1">
      <c r="A3139" s="1079"/>
      <c r="B3139" s="475"/>
      <c r="C3139" s="916"/>
      <c r="D3139" s="916"/>
      <c r="E3139" s="905"/>
      <c r="F3139" s="865"/>
      <c r="G3139" s="866"/>
      <c r="H3139" s="840">
        <f t="shared" si="96"/>
        <v>0</v>
      </c>
      <c r="I3139" s="840">
        <f t="shared" si="97"/>
        <v>0</v>
      </c>
    </row>
    <row r="3140" spans="1:9" hidden="1">
      <c r="A3140" s="1079"/>
      <c r="B3140" s="475"/>
      <c r="C3140" s="916"/>
      <c r="D3140" s="916"/>
      <c r="E3140" s="905"/>
      <c r="F3140" s="865"/>
      <c r="G3140" s="866"/>
      <c r="H3140" s="840">
        <f t="shared" si="96"/>
        <v>0</v>
      </c>
      <c r="I3140" s="840">
        <f t="shared" si="97"/>
        <v>0</v>
      </c>
    </row>
    <row r="3141" spans="1:9" hidden="1">
      <c r="A3141" s="1079"/>
      <c r="B3141" s="475"/>
      <c r="C3141" s="916"/>
      <c r="D3141" s="916"/>
      <c r="E3141" s="905"/>
      <c r="F3141" s="865"/>
      <c r="G3141" s="866"/>
      <c r="H3141" s="840">
        <f t="shared" si="96"/>
        <v>0</v>
      </c>
      <c r="I3141" s="840">
        <f t="shared" si="97"/>
        <v>0</v>
      </c>
    </row>
    <row r="3142" spans="1:9" hidden="1">
      <c r="A3142" s="1079"/>
      <c r="B3142" s="475"/>
      <c r="C3142" s="916"/>
      <c r="D3142" s="916"/>
      <c r="E3142" s="905"/>
      <c r="F3142" s="865"/>
      <c r="G3142" s="866"/>
      <c r="H3142" s="840">
        <f t="shared" si="96"/>
        <v>0</v>
      </c>
      <c r="I3142" s="840">
        <f t="shared" si="97"/>
        <v>0</v>
      </c>
    </row>
    <row r="3143" spans="1:9" hidden="1">
      <c r="A3143" s="1079"/>
      <c r="B3143" s="475"/>
      <c r="C3143" s="916"/>
      <c r="D3143" s="916"/>
      <c r="E3143" s="905"/>
      <c r="F3143" s="865"/>
      <c r="G3143" s="866"/>
      <c r="H3143" s="840">
        <f t="shared" si="96"/>
        <v>0</v>
      </c>
      <c r="I3143" s="840">
        <f t="shared" si="97"/>
        <v>0</v>
      </c>
    </row>
    <row r="3144" spans="1:9" hidden="1">
      <c r="A3144" s="1079"/>
      <c r="B3144" s="475"/>
      <c r="C3144" s="916"/>
      <c r="D3144" s="916"/>
      <c r="E3144" s="905"/>
      <c r="F3144" s="865"/>
      <c r="G3144" s="866"/>
      <c r="H3144" s="840">
        <f t="shared" si="96"/>
        <v>0</v>
      </c>
      <c r="I3144" s="840">
        <f t="shared" si="97"/>
        <v>0</v>
      </c>
    </row>
    <row r="3145" spans="1:9" hidden="1">
      <c r="A3145" s="1079"/>
      <c r="B3145" s="475"/>
      <c r="C3145" s="916"/>
      <c r="D3145" s="916"/>
      <c r="E3145" s="905"/>
      <c r="F3145" s="865"/>
      <c r="G3145" s="866"/>
      <c r="H3145" s="840">
        <f t="shared" ref="H3145:H3208" si="98">E3145+D3145-C3145</f>
        <v>0</v>
      </c>
      <c r="I3145" s="840">
        <f t="shared" ref="I3145:I3208" si="99">SUM(C3145:E3145)</f>
        <v>0</v>
      </c>
    </row>
    <row r="3146" spans="1:9" hidden="1">
      <c r="A3146" s="1079"/>
      <c r="B3146" s="475"/>
      <c r="C3146" s="916"/>
      <c r="D3146" s="916"/>
      <c r="E3146" s="905"/>
      <c r="F3146" s="865"/>
      <c r="G3146" s="866"/>
      <c r="H3146" s="840">
        <f t="shared" si="98"/>
        <v>0</v>
      </c>
      <c r="I3146" s="840">
        <f t="shared" si="99"/>
        <v>0</v>
      </c>
    </row>
    <row r="3147" spans="1:9" hidden="1">
      <c r="A3147" s="1079"/>
      <c r="B3147" s="475"/>
      <c r="C3147" s="916"/>
      <c r="D3147" s="916"/>
      <c r="E3147" s="905"/>
      <c r="F3147" s="865"/>
      <c r="G3147" s="866"/>
      <c r="H3147" s="840">
        <f t="shared" si="98"/>
        <v>0</v>
      </c>
      <c r="I3147" s="840">
        <f t="shared" si="99"/>
        <v>0</v>
      </c>
    </row>
    <row r="3148" spans="1:9" hidden="1">
      <c r="A3148" s="1079"/>
      <c r="B3148" s="475"/>
      <c r="C3148" s="916"/>
      <c r="D3148" s="916"/>
      <c r="E3148" s="905"/>
      <c r="F3148" s="865"/>
      <c r="G3148" s="866"/>
      <c r="H3148" s="840">
        <f t="shared" si="98"/>
        <v>0</v>
      </c>
      <c r="I3148" s="840">
        <f t="shared" si="99"/>
        <v>0</v>
      </c>
    </row>
    <row r="3149" spans="1:9">
      <c r="A3149" s="1148"/>
      <c r="B3149" s="461" t="s">
        <v>253</v>
      </c>
      <c r="C3149" s="919">
        <f>SUM(C3115:C3148)</f>
        <v>100938</v>
      </c>
      <c r="D3149" s="919">
        <f>SUM(D3115:D3148)</f>
        <v>32906</v>
      </c>
      <c r="E3149" s="919">
        <f>SUM(E3115:E3148)</f>
        <v>68032</v>
      </c>
      <c r="F3149" s="865"/>
      <c r="G3149" s="866"/>
      <c r="H3149" s="840">
        <f t="shared" si="98"/>
        <v>0</v>
      </c>
      <c r="I3149" s="840">
        <f t="shared" si="99"/>
        <v>201876</v>
      </c>
    </row>
    <row r="3150" spans="1:9" ht="37.5">
      <c r="A3150" s="1078" t="s">
        <v>54</v>
      </c>
      <c r="B3150" s="475" t="s">
        <v>1480</v>
      </c>
      <c r="C3150" s="530">
        <v>4000</v>
      </c>
      <c r="D3150" s="530"/>
      <c r="E3150" s="905">
        <v>4000</v>
      </c>
      <c r="F3150" s="865"/>
      <c r="G3150" s="866"/>
      <c r="H3150" s="840">
        <f t="shared" si="98"/>
        <v>0</v>
      </c>
      <c r="I3150" s="840">
        <f t="shared" si="99"/>
        <v>8000</v>
      </c>
    </row>
    <row r="3151" spans="1:9" ht="56.25">
      <c r="A3151" s="1079"/>
      <c r="B3151" s="475" t="s">
        <v>1481</v>
      </c>
      <c r="C3151" s="530">
        <v>4000</v>
      </c>
      <c r="D3151" s="530"/>
      <c r="E3151" s="905">
        <v>4000</v>
      </c>
      <c r="F3151" s="865"/>
      <c r="G3151" s="866"/>
      <c r="H3151" s="840">
        <f t="shared" si="98"/>
        <v>0</v>
      </c>
      <c r="I3151" s="840">
        <f t="shared" si="99"/>
        <v>8000</v>
      </c>
    </row>
    <row r="3152" spans="1:9" ht="37.5">
      <c r="A3152" s="1079"/>
      <c r="B3152" s="475" t="s">
        <v>1482</v>
      </c>
      <c r="C3152" s="530">
        <v>5000</v>
      </c>
      <c r="D3152" s="530">
        <v>5000</v>
      </c>
      <c r="E3152" s="905"/>
      <c r="F3152" s="865"/>
      <c r="G3152" s="866"/>
      <c r="H3152" s="840">
        <f t="shared" si="98"/>
        <v>0</v>
      </c>
      <c r="I3152" s="840">
        <f t="shared" si="99"/>
        <v>10000</v>
      </c>
    </row>
    <row r="3153" spans="1:9" ht="37.5">
      <c r="A3153" s="1079"/>
      <c r="B3153" s="475" t="s">
        <v>1483</v>
      </c>
      <c r="C3153" s="530">
        <v>15000</v>
      </c>
      <c r="D3153" s="530">
        <v>15000</v>
      </c>
      <c r="E3153" s="905"/>
      <c r="F3153" s="865"/>
      <c r="G3153" s="866"/>
      <c r="H3153" s="840">
        <f t="shared" si="98"/>
        <v>0</v>
      </c>
      <c r="I3153" s="840">
        <f t="shared" si="99"/>
        <v>30000</v>
      </c>
    </row>
    <row r="3154" spans="1:9" ht="56.25">
      <c r="A3154" s="1079"/>
      <c r="B3154" s="535" t="s">
        <v>3173</v>
      </c>
      <c r="C3154" s="530">
        <v>12578</v>
      </c>
      <c r="D3154" s="530">
        <v>12578</v>
      </c>
      <c r="E3154" s="905"/>
      <c r="F3154" s="865"/>
      <c r="G3154" s="866"/>
      <c r="H3154" s="840">
        <f t="shared" si="98"/>
        <v>0</v>
      </c>
      <c r="I3154" s="840">
        <f t="shared" si="99"/>
        <v>25156</v>
      </c>
    </row>
    <row r="3155" spans="1:9" ht="37.5">
      <c r="A3155" s="1079"/>
      <c r="B3155" s="475" t="s">
        <v>1929</v>
      </c>
      <c r="C3155" s="911">
        <v>100000</v>
      </c>
      <c r="D3155" s="911">
        <v>100000</v>
      </c>
      <c r="E3155" s="911"/>
      <c r="F3155" s="865"/>
      <c r="G3155" s="866"/>
      <c r="H3155" s="840">
        <f t="shared" si="98"/>
        <v>0</v>
      </c>
      <c r="I3155" s="840">
        <f t="shared" si="99"/>
        <v>200000</v>
      </c>
    </row>
    <row r="3156" spans="1:9" ht="93.75">
      <c r="A3156" s="1079"/>
      <c r="B3156" s="475" t="s">
        <v>2204</v>
      </c>
      <c r="C3156" s="908">
        <v>14000</v>
      </c>
      <c r="D3156" s="908">
        <v>14000</v>
      </c>
      <c r="E3156" s="905"/>
      <c r="F3156" s="865"/>
      <c r="G3156" s="866"/>
      <c r="H3156" s="840">
        <f t="shared" si="98"/>
        <v>0</v>
      </c>
      <c r="I3156" s="840">
        <f t="shared" si="99"/>
        <v>28000</v>
      </c>
    </row>
    <row r="3157" spans="1:9" ht="75">
      <c r="A3157" s="1079"/>
      <c r="B3157" s="475" t="s">
        <v>2205</v>
      </c>
      <c r="C3157" s="905">
        <v>6500</v>
      </c>
      <c r="D3157" s="932"/>
      <c r="E3157" s="932">
        <v>6500</v>
      </c>
      <c r="F3157" s="865"/>
      <c r="G3157" s="866"/>
      <c r="H3157" s="840">
        <f t="shared" si="98"/>
        <v>0</v>
      </c>
      <c r="I3157" s="840">
        <f t="shared" si="99"/>
        <v>13000</v>
      </c>
    </row>
    <row r="3158" spans="1:9" ht="37.5">
      <c r="A3158" s="1079"/>
      <c r="B3158" s="475" t="s">
        <v>2206</v>
      </c>
      <c r="C3158" s="905">
        <v>8000</v>
      </c>
      <c r="D3158" s="932">
        <v>8000</v>
      </c>
      <c r="E3158" s="932"/>
      <c r="F3158" s="865"/>
      <c r="G3158" s="866"/>
      <c r="H3158" s="840">
        <f t="shared" si="98"/>
        <v>0</v>
      </c>
      <c r="I3158" s="840">
        <f t="shared" si="99"/>
        <v>16000</v>
      </c>
    </row>
    <row r="3159" spans="1:9" ht="75">
      <c r="A3159" s="1079"/>
      <c r="B3159" s="475" t="s">
        <v>2207</v>
      </c>
      <c r="C3159" s="905">
        <v>5000</v>
      </c>
      <c r="D3159" s="932">
        <v>5000</v>
      </c>
      <c r="E3159" s="932"/>
      <c r="F3159" s="865"/>
      <c r="G3159" s="866"/>
      <c r="H3159" s="840">
        <f t="shared" si="98"/>
        <v>0</v>
      </c>
      <c r="I3159" s="840">
        <f t="shared" si="99"/>
        <v>10000</v>
      </c>
    </row>
    <row r="3160" spans="1:9" ht="37.5">
      <c r="A3160" s="1079"/>
      <c r="B3160" s="475" t="s">
        <v>2208</v>
      </c>
      <c r="C3160" s="905">
        <v>19105</v>
      </c>
      <c r="D3160" s="932">
        <v>19105</v>
      </c>
      <c r="E3160" s="932"/>
      <c r="F3160" s="865"/>
      <c r="G3160" s="866"/>
      <c r="H3160" s="840">
        <f t="shared" si="98"/>
        <v>0</v>
      </c>
      <c r="I3160" s="840">
        <f t="shared" si="99"/>
        <v>38210</v>
      </c>
    </row>
    <row r="3161" spans="1:9" ht="56.25">
      <c r="A3161" s="1079"/>
      <c r="B3161" s="475" t="s">
        <v>2521</v>
      </c>
      <c r="C3161" s="916">
        <v>55018</v>
      </c>
      <c r="D3161" s="916"/>
      <c r="E3161" s="905">
        <v>55018</v>
      </c>
      <c r="F3161" s="865"/>
      <c r="G3161" s="866"/>
      <c r="H3161" s="840">
        <f t="shared" si="98"/>
        <v>0</v>
      </c>
      <c r="I3161" s="840">
        <f t="shared" si="99"/>
        <v>110036</v>
      </c>
    </row>
    <row r="3162" spans="1:9" ht="37.5">
      <c r="A3162" s="1079"/>
      <c r="B3162" s="475" t="s">
        <v>2932</v>
      </c>
      <c r="C3162" s="908">
        <v>59989</v>
      </c>
      <c r="D3162" s="908">
        <v>59989</v>
      </c>
      <c r="E3162" s="905"/>
      <c r="F3162" s="865"/>
      <c r="G3162" s="866"/>
      <c r="H3162" s="840">
        <f t="shared" si="98"/>
        <v>0</v>
      </c>
      <c r="I3162" s="840">
        <f t="shared" si="99"/>
        <v>119978</v>
      </c>
    </row>
    <row r="3163" spans="1:9" ht="75">
      <c r="A3163" s="1079"/>
      <c r="B3163" s="475" t="s">
        <v>2933</v>
      </c>
      <c r="C3163" s="908">
        <v>5000</v>
      </c>
      <c r="D3163" s="908">
        <v>5000</v>
      </c>
      <c r="E3163" s="905"/>
      <c r="F3163" s="865"/>
      <c r="G3163" s="866"/>
      <c r="H3163" s="840">
        <f t="shared" si="98"/>
        <v>0</v>
      </c>
      <c r="I3163" s="840">
        <f t="shared" si="99"/>
        <v>10000</v>
      </c>
    </row>
    <row r="3164" spans="1:9" hidden="1">
      <c r="A3164" s="1079"/>
      <c r="B3164" s="475"/>
      <c r="C3164" s="916"/>
      <c r="D3164" s="916"/>
      <c r="E3164" s="905"/>
      <c r="F3164" s="865"/>
      <c r="G3164" s="866"/>
      <c r="H3164" s="840">
        <f t="shared" si="98"/>
        <v>0</v>
      </c>
      <c r="I3164" s="840">
        <f t="shared" si="99"/>
        <v>0</v>
      </c>
    </row>
    <row r="3165" spans="1:9" hidden="1">
      <c r="A3165" s="1079"/>
      <c r="B3165" s="475"/>
      <c r="C3165" s="916"/>
      <c r="D3165" s="916"/>
      <c r="E3165" s="905"/>
      <c r="F3165" s="865"/>
      <c r="G3165" s="866"/>
      <c r="H3165" s="840">
        <f t="shared" si="98"/>
        <v>0</v>
      </c>
      <c r="I3165" s="840">
        <f t="shared" si="99"/>
        <v>0</v>
      </c>
    </row>
    <row r="3166" spans="1:9" hidden="1">
      <c r="A3166" s="1079"/>
      <c r="B3166" s="475"/>
      <c r="C3166" s="916"/>
      <c r="D3166" s="916"/>
      <c r="E3166" s="905"/>
      <c r="F3166" s="865"/>
      <c r="G3166" s="866"/>
      <c r="H3166" s="840">
        <f t="shared" si="98"/>
        <v>0</v>
      </c>
      <c r="I3166" s="840">
        <f t="shared" si="99"/>
        <v>0</v>
      </c>
    </row>
    <row r="3167" spans="1:9" hidden="1">
      <c r="A3167" s="1079"/>
      <c r="B3167" s="475"/>
      <c r="C3167" s="916"/>
      <c r="D3167" s="916"/>
      <c r="E3167" s="905"/>
      <c r="F3167" s="865"/>
      <c r="G3167" s="866"/>
      <c r="H3167" s="840">
        <f t="shared" si="98"/>
        <v>0</v>
      </c>
      <c r="I3167" s="840">
        <f t="shared" si="99"/>
        <v>0</v>
      </c>
    </row>
    <row r="3168" spans="1:9" hidden="1">
      <c r="A3168" s="1079"/>
      <c r="B3168" s="475"/>
      <c r="C3168" s="916"/>
      <c r="D3168" s="916"/>
      <c r="E3168" s="905"/>
      <c r="F3168" s="865"/>
      <c r="G3168" s="866"/>
      <c r="H3168" s="840">
        <f t="shared" si="98"/>
        <v>0</v>
      </c>
      <c r="I3168" s="840">
        <f t="shared" si="99"/>
        <v>0</v>
      </c>
    </row>
    <row r="3169" spans="1:9" hidden="1">
      <c r="A3169" s="1079"/>
      <c r="B3169" s="475"/>
      <c r="C3169" s="916"/>
      <c r="D3169" s="916"/>
      <c r="E3169" s="905"/>
      <c r="F3169" s="865"/>
      <c r="G3169" s="866"/>
      <c r="H3169" s="840">
        <f t="shared" si="98"/>
        <v>0</v>
      </c>
      <c r="I3169" s="840">
        <f t="shared" si="99"/>
        <v>0</v>
      </c>
    </row>
    <row r="3170" spans="1:9" hidden="1">
      <c r="A3170" s="1079"/>
      <c r="B3170" s="475"/>
      <c r="C3170" s="916"/>
      <c r="D3170" s="916"/>
      <c r="E3170" s="905"/>
      <c r="F3170" s="865"/>
      <c r="G3170" s="866"/>
      <c r="H3170" s="840">
        <f t="shared" si="98"/>
        <v>0</v>
      </c>
      <c r="I3170" s="840">
        <f t="shared" si="99"/>
        <v>0</v>
      </c>
    </row>
    <row r="3171" spans="1:9" hidden="1">
      <c r="A3171" s="1079"/>
      <c r="B3171" s="475"/>
      <c r="C3171" s="916"/>
      <c r="D3171" s="916"/>
      <c r="E3171" s="905"/>
      <c r="F3171" s="865"/>
      <c r="G3171" s="866"/>
      <c r="H3171" s="840">
        <f t="shared" si="98"/>
        <v>0</v>
      </c>
      <c r="I3171" s="840">
        <f t="shared" si="99"/>
        <v>0</v>
      </c>
    </row>
    <row r="3172" spans="1:9" hidden="1">
      <c r="A3172" s="1079"/>
      <c r="B3172" s="475"/>
      <c r="C3172" s="916"/>
      <c r="D3172" s="916"/>
      <c r="E3172" s="905"/>
      <c r="F3172" s="865"/>
      <c r="G3172" s="866"/>
      <c r="H3172" s="840">
        <f t="shared" si="98"/>
        <v>0</v>
      </c>
      <c r="I3172" s="840">
        <f t="shared" si="99"/>
        <v>0</v>
      </c>
    </row>
    <row r="3173" spans="1:9" hidden="1">
      <c r="A3173" s="1079"/>
      <c r="B3173" s="475"/>
      <c r="C3173" s="916"/>
      <c r="D3173" s="916"/>
      <c r="E3173" s="905"/>
      <c r="F3173" s="865"/>
      <c r="G3173" s="866"/>
      <c r="H3173" s="840">
        <f t="shared" si="98"/>
        <v>0</v>
      </c>
      <c r="I3173" s="840">
        <f t="shared" si="99"/>
        <v>0</v>
      </c>
    </row>
    <row r="3174" spans="1:9" hidden="1">
      <c r="A3174" s="1079"/>
      <c r="B3174" s="475"/>
      <c r="C3174" s="916"/>
      <c r="D3174" s="916"/>
      <c r="E3174" s="905"/>
      <c r="F3174" s="865"/>
      <c r="G3174" s="866"/>
      <c r="H3174" s="840">
        <f t="shared" si="98"/>
        <v>0</v>
      </c>
      <c r="I3174" s="840">
        <f t="shared" si="99"/>
        <v>0</v>
      </c>
    </row>
    <row r="3175" spans="1:9" hidden="1">
      <c r="A3175" s="1079"/>
      <c r="B3175" s="475"/>
      <c r="C3175" s="916"/>
      <c r="D3175" s="916"/>
      <c r="E3175" s="905"/>
      <c r="F3175" s="865"/>
      <c r="G3175" s="866"/>
      <c r="H3175" s="840">
        <f t="shared" si="98"/>
        <v>0</v>
      </c>
      <c r="I3175" s="840">
        <f t="shared" si="99"/>
        <v>0</v>
      </c>
    </row>
    <row r="3176" spans="1:9" hidden="1">
      <c r="A3176" s="1079"/>
      <c r="B3176" s="475"/>
      <c r="C3176" s="916"/>
      <c r="D3176" s="916"/>
      <c r="E3176" s="905"/>
      <c r="F3176" s="865"/>
      <c r="G3176" s="866"/>
      <c r="H3176" s="840">
        <f t="shared" si="98"/>
        <v>0</v>
      </c>
      <c r="I3176" s="840">
        <f t="shared" si="99"/>
        <v>0</v>
      </c>
    </row>
    <row r="3177" spans="1:9" hidden="1">
      <c r="A3177" s="1079"/>
      <c r="B3177" s="475"/>
      <c r="C3177" s="916"/>
      <c r="D3177" s="916"/>
      <c r="E3177" s="905"/>
      <c r="F3177" s="865"/>
      <c r="G3177" s="866"/>
      <c r="H3177" s="840">
        <f t="shared" si="98"/>
        <v>0</v>
      </c>
      <c r="I3177" s="840">
        <f t="shared" si="99"/>
        <v>0</v>
      </c>
    </row>
    <row r="3178" spans="1:9" hidden="1">
      <c r="A3178" s="1079"/>
      <c r="B3178" s="475"/>
      <c r="C3178" s="916"/>
      <c r="D3178" s="916"/>
      <c r="E3178" s="905"/>
      <c r="F3178" s="865"/>
      <c r="G3178" s="866"/>
      <c r="H3178" s="840">
        <f t="shared" si="98"/>
        <v>0</v>
      </c>
      <c r="I3178" s="840">
        <f t="shared" si="99"/>
        <v>0</v>
      </c>
    </row>
    <row r="3179" spans="1:9" hidden="1">
      <c r="A3179" s="1079"/>
      <c r="B3179" s="475"/>
      <c r="C3179" s="916"/>
      <c r="D3179" s="916"/>
      <c r="E3179" s="905"/>
      <c r="F3179" s="865"/>
      <c r="G3179" s="866"/>
      <c r="H3179" s="840">
        <f t="shared" si="98"/>
        <v>0</v>
      </c>
      <c r="I3179" s="840">
        <f t="shared" si="99"/>
        <v>0</v>
      </c>
    </row>
    <row r="3180" spans="1:9" hidden="1">
      <c r="A3180" s="1079"/>
      <c r="B3180" s="475"/>
      <c r="C3180" s="916"/>
      <c r="D3180" s="916"/>
      <c r="E3180" s="905"/>
      <c r="F3180" s="865"/>
      <c r="G3180" s="866"/>
      <c r="H3180" s="840">
        <f t="shared" si="98"/>
        <v>0</v>
      </c>
      <c r="I3180" s="840">
        <f t="shared" si="99"/>
        <v>0</v>
      </c>
    </row>
    <row r="3181" spans="1:9" hidden="1">
      <c r="A3181" s="1079"/>
      <c r="B3181" s="475"/>
      <c r="C3181" s="916"/>
      <c r="D3181" s="916"/>
      <c r="E3181" s="905"/>
      <c r="F3181" s="865"/>
      <c r="G3181" s="866"/>
      <c r="H3181" s="840">
        <f t="shared" si="98"/>
        <v>0</v>
      </c>
      <c r="I3181" s="840">
        <f t="shared" si="99"/>
        <v>0</v>
      </c>
    </row>
    <row r="3182" spans="1:9" hidden="1">
      <c r="A3182" s="1079"/>
      <c r="B3182" s="475"/>
      <c r="C3182" s="916"/>
      <c r="D3182" s="916"/>
      <c r="E3182" s="905"/>
      <c r="F3182" s="865"/>
      <c r="G3182" s="866"/>
      <c r="H3182" s="840">
        <f t="shared" si="98"/>
        <v>0</v>
      </c>
      <c r="I3182" s="840">
        <f t="shared" si="99"/>
        <v>0</v>
      </c>
    </row>
    <row r="3183" spans="1:9" hidden="1">
      <c r="A3183" s="1079"/>
      <c r="B3183" s="475"/>
      <c r="C3183" s="916"/>
      <c r="D3183" s="916"/>
      <c r="E3183" s="905"/>
      <c r="F3183" s="865"/>
      <c r="G3183" s="866"/>
      <c r="H3183" s="840">
        <f t="shared" si="98"/>
        <v>0</v>
      </c>
      <c r="I3183" s="840">
        <f t="shared" si="99"/>
        <v>0</v>
      </c>
    </row>
    <row r="3184" spans="1:9">
      <c r="A3184" s="1148"/>
      <c r="B3184" s="461" t="s">
        <v>253</v>
      </c>
      <c r="C3184" s="919">
        <f>SUM(C3150:C3183)</f>
        <v>313190</v>
      </c>
      <c r="D3184" s="919">
        <f>SUM(D3150:D3183)</f>
        <v>243672</v>
      </c>
      <c r="E3184" s="919">
        <f>SUM(E3150:E3183)</f>
        <v>69518</v>
      </c>
      <c r="F3184" s="865"/>
      <c r="G3184" s="866"/>
      <c r="H3184" s="840">
        <f t="shared" si="98"/>
        <v>0</v>
      </c>
      <c r="I3184" s="840">
        <f t="shared" si="99"/>
        <v>626380</v>
      </c>
    </row>
    <row r="3185" spans="1:9" ht="112.5">
      <c r="A3185" s="1078" t="s">
        <v>55</v>
      </c>
      <c r="B3185" s="475" t="s">
        <v>953</v>
      </c>
      <c r="C3185" s="905">
        <f>50000-10000</f>
        <v>40000</v>
      </c>
      <c r="D3185" s="905"/>
      <c r="E3185" s="905">
        <f>50000-10000</f>
        <v>40000</v>
      </c>
      <c r="F3185" s="865"/>
      <c r="G3185" s="866"/>
      <c r="H3185" s="840">
        <f t="shared" si="98"/>
        <v>0</v>
      </c>
      <c r="I3185" s="840">
        <f t="shared" si="99"/>
        <v>80000</v>
      </c>
    </row>
    <row r="3186" spans="1:9" ht="56.25">
      <c r="A3186" s="1079"/>
      <c r="B3186" s="475" t="s">
        <v>1484</v>
      </c>
      <c r="C3186" s="905">
        <v>20000</v>
      </c>
      <c r="D3186" s="932">
        <v>20000</v>
      </c>
      <c r="E3186" s="932"/>
      <c r="F3186" s="865"/>
      <c r="G3186" s="866"/>
      <c r="H3186" s="840">
        <f t="shared" si="98"/>
        <v>0</v>
      </c>
      <c r="I3186" s="840">
        <f t="shared" si="99"/>
        <v>40000</v>
      </c>
    </row>
    <row r="3187" spans="1:9" ht="56.25">
      <c r="A3187" s="1079"/>
      <c r="B3187" s="475" t="s">
        <v>2298</v>
      </c>
      <c r="C3187" s="530">
        <v>35000</v>
      </c>
      <c r="D3187" s="530"/>
      <c r="E3187" s="905">
        <v>35000</v>
      </c>
      <c r="F3187" s="865"/>
      <c r="G3187" s="866"/>
      <c r="H3187" s="840">
        <f t="shared" si="98"/>
        <v>0</v>
      </c>
      <c r="I3187" s="840">
        <f t="shared" si="99"/>
        <v>70000</v>
      </c>
    </row>
    <row r="3188" spans="1:9" ht="56.25">
      <c r="A3188" s="1079"/>
      <c r="B3188" s="475" t="s">
        <v>2209</v>
      </c>
      <c r="C3188" s="908">
        <v>15000</v>
      </c>
      <c r="D3188" s="908"/>
      <c r="E3188" s="905">
        <v>15000</v>
      </c>
      <c r="F3188" s="865"/>
      <c r="G3188" s="866"/>
      <c r="H3188" s="840">
        <f t="shared" si="98"/>
        <v>0</v>
      </c>
      <c r="I3188" s="840">
        <f t="shared" si="99"/>
        <v>30000</v>
      </c>
    </row>
    <row r="3189" spans="1:9" ht="56.25">
      <c r="A3189" s="1079"/>
      <c r="B3189" s="475" t="s">
        <v>2210</v>
      </c>
      <c r="C3189" s="908">
        <v>8000</v>
      </c>
      <c r="D3189" s="908">
        <v>8000</v>
      </c>
      <c r="E3189" s="905"/>
      <c r="F3189" s="865"/>
      <c r="G3189" s="866"/>
      <c r="H3189" s="840">
        <f t="shared" si="98"/>
        <v>0</v>
      </c>
      <c r="I3189" s="840">
        <f t="shared" si="99"/>
        <v>16000</v>
      </c>
    </row>
    <row r="3190" spans="1:9" ht="37.5">
      <c r="A3190" s="1079"/>
      <c r="B3190" s="475" t="s">
        <v>2211</v>
      </c>
      <c r="C3190" s="908">
        <v>15000</v>
      </c>
      <c r="D3190" s="908"/>
      <c r="E3190" s="905">
        <v>15000</v>
      </c>
      <c r="F3190" s="865"/>
      <c r="G3190" s="866"/>
      <c r="H3190" s="840">
        <f t="shared" si="98"/>
        <v>0</v>
      </c>
      <c r="I3190" s="840">
        <f t="shared" si="99"/>
        <v>30000</v>
      </c>
    </row>
    <row r="3191" spans="1:9" ht="56.25">
      <c r="A3191" s="1079"/>
      <c r="B3191" s="475" t="s">
        <v>2212</v>
      </c>
      <c r="C3191" s="908">
        <v>25000</v>
      </c>
      <c r="D3191" s="908">
        <v>25000</v>
      </c>
      <c r="E3191" s="905"/>
      <c r="F3191" s="865"/>
      <c r="G3191" s="866"/>
      <c r="H3191" s="840">
        <f t="shared" si="98"/>
        <v>0</v>
      </c>
      <c r="I3191" s="840">
        <f t="shared" si="99"/>
        <v>50000</v>
      </c>
    </row>
    <row r="3192" spans="1:9" ht="93.75">
      <c r="A3192" s="1079"/>
      <c r="B3192" s="475" t="s">
        <v>2213</v>
      </c>
      <c r="C3192" s="905">
        <v>16851</v>
      </c>
      <c r="D3192" s="905"/>
      <c r="E3192" s="905">
        <v>16851</v>
      </c>
      <c r="F3192" s="865"/>
      <c r="G3192" s="866"/>
      <c r="H3192" s="840">
        <f t="shared" si="98"/>
        <v>0</v>
      </c>
      <c r="I3192" s="840">
        <f t="shared" si="99"/>
        <v>33702</v>
      </c>
    </row>
    <row r="3193" spans="1:9" ht="56.25">
      <c r="A3193" s="1079"/>
      <c r="B3193" s="475" t="s">
        <v>2623</v>
      </c>
      <c r="C3193" s="905">
        <v>10000</v>
      </c>
      <c r="D3193" s="905">
        <v>10000</v>
      </c>
      <c r="E3193" s="905"/>
      <c r="F3193" s="865"/>
      <c r="G3193" s="866"/>
      <c r="H3193" s="840">
        <f t="shared" si="98"/>
        <v>0</v>
      </c>
      <c r="I3193" s="840">
        <f t="shared" si="99"/>
        <v>20000</v>
      </c>
    </row>
    <row r="3194" spans="1:9" ht="56.25">
      <c r="A3194" s="1079"/>
      <c r="B3194" s="475" t="s">
        <v>2934</v>
      </c>
      <c r="C3194" s="908">
        <v>35000</v>
      </c>
      <c r="D3194" s="908">
        <v>35000</v>
      </c>
      <c r="E3194" s="905"/>
      <c r="F3194" s="865"/>
      <c r="G3194" s="866"/>
      <c r="H3194" s="840">
        <f t="shared" si="98"/>
        <v>0</v>
      </c>
      <c r="I3194" s="840">
        <f t="shared" si="99"/>
        <v>70000</v>
      </c>
    </row>
    <row r="3195" spans="1:9" hidden="1">
      <c r="A3195" s="1079"/>
      <c r="B3195" s="475"/>
      <c r="C3195" s="916"/>
      <c r="D3195" s="916"/>
      <c r="E3195" s="905"/>
      <c r="F3195" s="865"/>
      <c r="G3195" s="866"/>
      <c r="H3195" s="840">
        <f t="shared" si="98"/>
        <v>0</v>
      </c>
      <c r="I3195" s="840">
        <f t="shared" si="99"/>
        <v>0</v>
      </c>
    </row>
    <row r="3196" spans="1:9" hidden="1">
      <c r="A3196" s="1079"/>
      <c r="B3196" s="475"/>
      <c r="C3196" s="916"/>
      <c r="D3196" s="916"/>
      <c r="E3196" s="905"/>
      <c r="F3196" s="865"/>
      <c r="G3196" s="866"/>
      <c r="H3196" s="840">
        <f t="shared" si="98"/>
        <v>0</v>
      </c>
      <c r="I3196" s="840">
        <f t="shared" si="99"/>
        <v>0</v>
      </c>
    </row>
    <row r="3197" spans="1:9" hidden="1">
      <c r="A3197" s="1079"/>
      <c r="B3197" s="475"/>
      <c r="C3197" s="916"/>
      <c r="D3197" s="916"/>
      <c r="E3197" s="905"/>
      <c r="F3197" s="865"/>
      <c r="G3197" s="866"/>
      <c r="H3197" s="840">
        <f t="shared" si="98"/>
        <v>0</v>
      </c>
      <c r="I3197" s="840">
        <f t="shared" si="99"/>
        <v>0</v>
      </c>
    </row>
    <row r="3198" spans="1:9" hidden="1">
      <c r="A3198" s="1079"/>
      <c r="B3198" s="475"/>
      <c r="C3198" s="916"/>
      <c r="D3198" s="916"/>
      <c r="E3198" s="905"/>
      <c r="F3198" s="865"/>
      <c r="G3198" s="866"/>
      <c r="H3198" s="840">
        <f t="shared" si="98"/>
        <v>0</v>
      </c>
      <c r="I3198" s="840">
        <f t="shared" si="99"/>
        <v>0</v>
      </c>
    </row>
    <row r="3199" spans="1:9" hidden="1">
      <c r="A3199" s="1079"/>
      <c r="B3199" s="475"/>
      <c r="C3199" s="916"/>
      <c r="D3199" s="916"/>
      <c r="E3199" s="905"/>
      <c r="F3199" s="865"/>
      <c r="G3199" s="866"/>
      <c r="H3199" s="840">
        <f t="shared" si="98"/>
        <v>0</v>
      </c>
      <c r="I3199" s="840">
        <f t="shared" si="99"/>
        <v>0</v>
      </c>
    </row>
    <row r="3200" spans="1:9" hidden="1">
      <c r="A3200" s="1079"/>
      <c r="B3200" s="475"/>
      <c r="C3200" s="916"/>
      <c r="D3200" s="916"/>
      <c r="E3200" s="905"/>
      <c r="F3200" s="865"/>
      <c r="G3200" s="866"/>
      <c r="H3200" s="840">
        <f t="shared" si="98"/>
        <v>0</v>
      </c>
      <c r="I3200" s="840">
        <f t="shared" si="99"/>
        <v>0</v>
      </c>
    </row>
    <row r="3201" spans="1:9" hidden="1">
      <c r="A3201" s="1079"/>
      <c r="B3201" s="475"/>
      <c r="C3201" s="916"/>
      <c r="D3201" s="916"/>
      <c r="E3201" s="905"/>
      <c r="F3201" s="865"/>
      <c r="G3201" s="866"/>
      <c r="H3201" s="840">
        <f t="shared" si="98"/>
        <v>0</v>
      </c>
      <c r="I3201" s="840">
        <f t="shared" si="99"/>
        <v>0</v>
      </c>
    </row>
    <row r="3202" spans="1:9" hidden="1">
      <c r="A3202" s="1079"/>
      <c r="B3202" s="475"/>
      <c r="C3202" s="916"/>
      <c r="D3202" s="916"/>
      <c r="E3202" s="905"/>
      <c r="F3202" s="865"/>
      <c r="G3202" s="866"/>
      <c r="H3202" s="840">
        <f t="shared" si="98"/>
        <v>0</v>
      </c>
      <c r="I3202" s="840">
        <f t="shared" si="99"/>
        <v>0</v>
      </c>
    </row>
    <row r="3203" spans="1:9" hidden="1">
      <c r="A3203" s="1079"/>
      <c r="B3203" s="475"/>
      <c r="C3203" s="916"/>
      <c r="D3203" s="916"/>
      <c r="E3203" s="905"/>
      <c r="F3203" s="865"/>
      <c r="G3203" s="866"/>
      <c r="H3203" s="840">
        <f t="shared" si="98"/>
        <v>0</v>
      </c>
      <c r="I3203" s="840">
        <f t="shared" si="99"/>
        <v>0</v>
      </c>
    </row>
    <row r="3204" spans="1:9" hidden="1">
      <c r="A3204" s="1079"/>
      <c r="B3204" s="475"/>
      <c r="C3204" s="916"/>
      <c r="D3204" s="916"/>
      <c r="E3204" s="905"/>
      <c r="F3204" s="865"/>
      <c r="G3204" s="866"/>
      <c r="H3204" s="840">
        <f t="shared" si="98"/>
        <v>0</v>
      </c>
      <c r="I3204" s="840">
        <f t="shared" si="99"/>
        <v>0</v>
      </c>
    </row>
    <row r="3205" spans="1:9" hidden="1">
      <c r="A3205" s="1079"/>
      <c r="B3205" s="475"/>
      <c r="C3205" s="916"/>
      <c r="D3205" s="916"/>
      <c r="E3205" s="905"/>
      <c r="F3205" s="865"/>
      <c r="G3205" s="866"/>
      <c r="H3205" s="840">
        <f t="shared" si="98"/>
        <v>0</v>
      </c>
      <c r="I3205" s="840">
        <f t="shared" si="99"/>
        <v>0</v>
      </c>
    </row>
    <row r="3206" spans="1:9" hidden="1">
      <c r="A3206" s="1079"/>
      <c r="B3206" s="475"/>
      <c r="C3206" s="916"/>
      <c r="D3206" s="916"/>
      <c r="E3206" s="905"/>
      <c r="F3206" s="865"/>
      <c r="G3206" s="866"/>
      <c r="H3206" s="840">
        <f t="shared" si="98"/>
        <v>0</v>
      </c>
      <c r="I3206" s="840">
        <f t="shared" si="99"/>
        <v>0</v>
      </c>
    </row>
    <row r="3207" spans="1:9" hidden="1">
      <c r="A3207" s="1079"/>
      <c r="B3207" s="475"/>
      <c r="C3207" s="916"/>
      <c r="D3207" s="916"/>
      <c r="E3207" s="905"/>
      <c r="F3207" s="865"/>
      <c r="G3207" s="866"/>
      <c r="H3207" s="840">
        <f t="shared" si="98"/>
        <v>0</v>
      </c>
      <c r="I3207" s="840">
        <f t="shared" si="99"/>
        <v>0</v>
      </c>
    </row>
    <row r="3208" spans="1:9" hidden="1">
      <c r="A3208" s="1079"/>
      <c r="B3208" s="475"/>
      <c r="C3208" s="916"/>
      <c r="D3208" s="916"/>
      <c r="E3208" s="905"/>
      <c r="F3208" s="865"/>
      <c r="G3208" s="866"/>
      <c r="H3208" s="840">
        <f t="shared" si="98"/>
        <v>0</v>
      </c>
      <c r="I3208" s="840">
        <f t="shared" si="99"/>
        <v>0</v>
      </c>
    </row>
    <row r="3209" spans="1:9" hidden="1">
      <c r="A3209" s="1079"/>
      <c r="B3209" s="475"/>
      <c r="C3209" s="916"/>
      <c r="D3209" s="916"/>
      <c r="E3209" s="905"/>
      <c r="F3209" s="865"/>
      <c r="G3209" s="866"/>
      <c r="H3209" s="840">
        <f t="shared" ref="H3209:H3272" si="100">E3209+D3209-C3209</f>
        <v>0</v>
      </c>
      <c r="I3209" s="840">
        <f t="shared" ref="I3209:I3272" si="101">SUM(C3209:E3209)</f>
        <v>0</v>
      </c>
    </row>
    <row r="3210" spans="1:9" hidden="1">
      <c r="A3210" s="1079"/>
      <c r="B3210" s="475"/>
      <c r="C3210" s="916"/>
      <c r="D3210" s="916"/>
      <c r="E3210" s="905"/>
      <c r="F3210" s="865"/>
      <c r="G3210" s="866"/>
      <c r="H3210" s="840">
        <f t="shared" si="100"/>
        <v>0</v>
      </c>
      <c r="I3210" s="840">
        <f t="shared" si="101"/>
        <v>0</v>
      </c>
    </row>
    <row r="3211" spans="1:9" hidden="1">
      <c r="A3211" s="1079"/>
      <c r="B3211" s="475"/>
      <c r="C3211" s="916"/>
      <c r="D3211" s="916"/>
      <c r="E3211" s="905"/>
      <c r="F3211" s="865"/>
      <c r="G3211" s="866"/>
      <c r="H3211" s="840">
        <f t="shared" si="100"/>
        <v>0</v>
      </c>
      <c r="I3211" s="840">
        <f t="shared" si="101"/>
        <v>0</v>
      </c>
    </row>
    <row r="3212" spans="1:9" hidden="1">
      <c r="A3212" s="1079"/>
      <c r="B3212" s="475"/>
      <c r="C3212" s="916"/>
      <c r="D3212" s="916"/>
      <c r="E3212" s="905"/>
      <c r="F3212" s="865"/>
      <c r="G3212" s="866"/>
      <c r="H3212" s="840">
        <f t="shared" si="100"/>
        <v>0</v>
      </c>
      <c r="I3212" s="840">
        <f t="shared" si="101"/>
        <v>0</v>
      </c>
    </row>
    <row r="3213" spans="1:9" hidden="1">
      <c r="A3213" s="1079"/>
      <c r="B3213" s="475"/>
      <c r="C3213" s="916"/>
      <c r="D3213" s="916"/>
      <c r="E3213" s="905"/>
      <c r="F3213" s="865"/>
      <c r="G3213" s="866"/>
      <c r="H3213" s="840">
        <f t="shared" si="100"/>
        <v>0</v>
      </c>
      <c r="I3213" s="840">
        <f t="shared" si="101"/>
        <v>0</v>
      </c>
    </row>
    <row r="3214" spans="1:9" hidden="1">
      <c r="A3214" s="1079"/>
      <c r="B3214" s="475"/>
      <c r="C3214" s="916"/>
      <c r="D3214" s="916"/>
      <c r="E3214" s="905"/>
      <c r="F3214" s="865"/>
      <c r="G3214" s="866"/>
      <c r="H3214" s="840">
        <f t="shared" si="100"/>
        <v>0</v>
      </c>
      <c r="I3214" s="840">
        <f t="shared" si="101"/>
        <v>0</v>
      </c>
    </row>
    <row r="3215" spans="1:9" hidden="1">
      <c r="A3215" s="1079"/>
      <c r="B3215" s="475"/>
      <c r="C3215" s="916"/>
      <c r="D3215" s="916"/>
      <c r="E3215" s="905"/>
      <c r="F3215" s="865"/>
      <c r="G3215" s="866"/>
      <c r="H3215" s="840">
        <f t="shared" si="100"/>
        <v>0</v>
      </c>
      <c r="I3215" s="840">
        <f t="shared" si="101"/>
        <v>0</v>
      </c>
    </row>
    <row r="3216" spans="1:9" hidden="1">
      <c r="A3216" s="1079"/>
      <c r="B3216" s="475"/>
      <c r="C3216" s="916"/>
      <c r="D3216" s="916"/>
      <c r="E3216" s="905"/>
      <c r="F3216" s="865"/>
      <c r="G3216" s="866"/>
      <c r="H3216" s="840">
        <f t="shared" si="100"/>
        <v>0</v>
      </c>
      <c r="I3216" s="840">
        <f t="shared" si="101"/>
        <v>0</v>
      </c>
    </row>
    <row r="3217" spans="1:9" hidden="1">
      <c r="A3217" s="1079"/>
      <c r="B3217" s="475"/>
      <c r="C3217" s="916"/>
      <c r="D3217" s="916"/>
      <c r="E3217" s="905"/>
      <c r="F3217" s="865"/>
      <c r="G3217" s="866"/>
      <c r="H3217" s="840">
        <f t="shared" si="100"/>
        <v>0</v>
      </c>
      <c r="I3217" s="840">
        <f t="shared" si="101"/>
        <v>0</v>
      </c>
    </row>
    <row r="3218" spans="1:9" hidden="1">
      <c r="A3218" s="1079"/>
      <c r="B3218" s="475"/>
      <c r="C3218" s="916"/>
      <c r="D3218" s="916"/>
      <c r="E3218" s="905"/>
      <c r="F3218" s="865"/>
      <c r="G3218" s="866"/>
      <c r="H3218" s="840">
        <f t="shared" si="100"/>
        <v>0</v>
      </c>
      <c r="I3218" s="840">
        <f t="shared" si="101"/>
        <v>0</v>
      </c>
    </row>
    <row r="3219" spans="1:9">
      <c r="A3219" s="1148"/>
      <c r="B3219" s="461" t="s">
        <v>253</v>
      </c>
      <c r="C3219" s="919">
        <f>SUM(C3185:C3218)</f>
        <v>219851</v>
      </c>
      <c r="D3219" s="919">
        <f>SUM(D3185:D3218)</f>
        <v>98000</v>
      </c>
      <c r="E3219" s="919">
        <f>SUM(E3185:E3218)</f>
        <v>121851</v>
      </c>
      <c r="F3219" s="865"/>
      <c r="G3219" s="866"/>
      <c r="H3219" s="840">
        <f t="shared" si="100"/>
        <v>0</v>
      </c>
      <c r="I3219" s="840">
        <f t="shared" si="101"/>
        <v>439702</v>
      </c>
    </row>
    <row r="3220" spans="1:9" ht="37.5">
      <c r="A3220" s="1078" t="s">
        <v>361</v>
      </c>
      <c r="B3220" s="475" t="s">
        <v>1485</v>
      </c>
      <c r="C3220" s="530">
        <v>6800</v>
      </c>
      <c r="D3220" s="530">
        <v>6800</v>
      </c>
      <c r="E3220" s="905"/>
      <c r="F3220" s="865"/>
      <c r="G3220" s="866"/>
      <c r="H3220" s="840">
        <f t="shared" si="100"/>
        <v>0</v>
      </c>
      <c r="I3220" s="840">
        <f t="shared" si="101"/>
        <v>13600</v>
      </c>
    </row>
    <row r="3221" spans="1:9" ht="37.5">
      <c r="A3221" s="1079"/>
      <c r="B3221" s="475" t="s">
        <v>1486</v>
      </c>
      <c r="C3221" s="530">
        <v>6900</v>
      </c>
      <c r="D3221" s="530">
        <v>6900</v>
      </c>
      <c r="E3221" s="905"/>
      <c r="F3221" s="865"/>
      <c r="G3221" s="866"/>
      <c r="H3221" s="840">
        <f t="shared" si="100"/>
        <v>0</v>
      </c>
      <c r="I3221" s="840">
        <f t="shared" si="101"/>
        <v>13800</v>
      </c>
    </row>
    <row r="3222" spans="1:9" ht="56.25">
      <c r="A3222" s="1079"/>
      <c r="B3222" s="475" t="s">
        <v>2214</v>
      </c>
      <c r="C3222" s="905">
        <v>69000</v>
      </c>
      <c r="D3222" s="905"/>
      <c r="E3222" s="905">
        <v>69000</v>
      </c>
      <c r="F3222" s="865"/>
      <c r="G3222" s="866"/>
      <c r="H3222" s="840">
        <f t="shared" si="100"/>
        <v>0</v>
      </c>
      <c r="I3222" s="840">
        <f t="shared" si="101"/>
        <v>138000</v>
      </c>
    </row>
    <row r="3223" spans="1:9" ht="37.5">
      <c r="A3223" s="1079"/>
      <c r="B3223" s="475" t="s">
        <v>2935</v>
      </c>
      <c r="C3223" s="914">
        <v>30000</v>
      </c>
      <c r="D3223" s="975"/>
      <c r="E3223" s="975">
        <v>30000</v>
      </c>
      <c r="F3223" s="865"/>
      <c r="G3223" s="866"/>
      <c r="H3223" s="840">
        <f t="shared" si="100"/>
        <v>0</v>
      </c>
      <c r="I3223" s="840">
        <f t="shared" si="101"/>
        <v>60000</v>
      </c>
    </row>
    <row r="3224" spans="1:9" ht="75">
      <c r="A3224" s="1079"/>
      <c r="B3224" s="475" t="s">
        <v>2936</v>
      </c>
      <c r="C3224" s="908">
        <v>2362</v>
      </c>
      <c r="D3224" s="908">
        <v>2362</v>
      </c>
      <c r="E3224" s="905"/>
      <c r="F3224" s="865"/>
      <c r="G3224" s="866"/>
      <c r="H3224" s="840">
        <f t="shared" si="100"/>
        <v>0</v>
      </c>
      <c r="I3224" s="840">
        <f t="shared" si="101"/>
        <v>4724</v>
      </c>
    </row>
    <row r="3225" spans="1:9" ht="56.25">
      <c r="A3225" s="1079"/>
      <c r="B3225" s="475" t="s">
        <v>2937</v>
      </c>
      <c r="C3225" s="908">
        <v>8000</v>
      </c>
      <c r="D3225" s="908">
        <v>8000</v>
      </c>
      <c r="E3225" s="905"/>
      <c r="F3225" s="865"/>
      <c r="G3225" s="866"/>
      <c r="H3225" s="840">
        <f t="shared" si="100"/>
        <v>0</v>
      </c>
      <c r="I3225" s="840">
        <f t="shared" si="101"/>
        <v>16000</v>
      </c>
    </row>
    <row r="3226" spans="1:9" ht="56.25">
      <c r="A3226" s="1079"/>
      <c r="B3226" s="475" t="s">
        <v>2938</v>
      </c>
      <c r="C3226" s="908">
        <v>9220</v>
      </c>
      <c r="D3226" s="908">
        <v>2135</v>
      </c>
      <c r="E3226" s="905">
        <v>7085</v>
      </c>
      <c r="F3226" s="865"/>
      <c r="G3226" s="866"/>
      <c r="H3226" s="840">
        <f t="shared" si="100"/>
        <v>0</v>
      </c>
      <c r="I3226" s="840">
        <f t="shared" si="101"/>
        <v>18440</v>
      </c>
    </row>
    <row r="3227" spans="1:9" hidden="1">
      <c r="A3227" s="1079"/>
      <c r="B3227" s="475"/>
      <c r="C3227" s="916"/>
      <c r="D3227" s="916"/>
      <c r="E3227" s="916"/>
      <c r="F3227" s="865"/>
      <c r="G3227" s="866"/>
      <c r="H3227" s="840">
        <f t="shared" si="100"/>
        <v>0</v>
      </c>
      <c r="I3227" s="840">
        <f t="shared" si="101"/>
        <v>0</v>
      </c>
    </row>
    <row r="3228" spans="1:9" hidden="1">
      <c r="A3228" s="1079"/>
      <c r="B3228" s="475"/>
      <c r="C3228" s="916"/>
      <c r="D3228" s="916"/>
      <c r="E3228" s="916"/>
      <c r="F3228" s="865"/>
      <c r="G3228" s="866"/>
      <c r="H3228" s="840">
        <f t="shared" si="100"/>
        <v>0</v>
      </c>
      <c r="I3228" s="840">
        <f t="shared" si="101"/>
        <v>0</v>
      </c>
    </row>
    <row r="3229" spans="1:9" hidden="1">
      <c r="A3229" s="1079"/>
      <c r="B3229" s="475"/>
      <c r="C3229" s="916"/>
      <c r="D3229" s="916"/>
      <c r="E3229" s="916"/>
      <c r="F3229" s="865"/>
      <c r="G3229" s="866"/>
      <c r="H3229" s="840">
        <f t="shared" si="100"/>
        <v>0</v>
      </c>
      <c r="I3229" s="840">
        <f t="shared" si="101"/>
        <v>0</v>
      </c>
    </row>
    <row r="3230" spans="1:9" hidden="1">
      <c r="A3230" s="1079"/>
      <c r="B3230" s="475"/>
      <c r="C3230" s="916"/>
      <c r="D3230" s="916"/>
      <c r="E3230" s="905"/>
      <c r="F3230" s="865"/>
      <c r="G3230" s="866"/>
      <c r="H3230" s="840">
        <f t="shared" si="100"/>
        <v>0</v>
      </c>
      <c r="I3230" s="840">
        <f t="shared" si="101"/>
        <v>0</v>
      </c>
    </row>
    <row r="3231" spans="1:9" hidden="1">
      <c r="A3231" s="1079"/>
      <c r="B3231" s="475"/>
      <c r="C3231" s="916"/>
      <c r="D3231" s="916"/>
      <c r="E3231" s="905"/>
      <c r="F3231" s="865"/>
      <c r="G3231" s="866"/>
      <c r="H3231" s="840">
        <f t="shared" si="100"/>
        <v>0</v>
      </c>
      <c r="I3231" s="840">
        <f t="shared" si="101"/>
        <v>0</v>
      </c>
    </row>
    <row r="3232" spans="1:9" hidden="1">
      <c r="A3232" s="1079"/>
      <c r="B3232" s="475"/>
      <c r="C3232" s="916"/>
      <c r="D3232" s="916"/>
      <c r="E3232" s="905"/>
      <c r="F3232" s="865"/>
      <c r="G3232" s="866"/>
      <c r="H3232" s="840">
        <f t="shared" si="100"/>
        <v>0</v>
      </c>
      <c r="I3232" s="840">
        <f t="shared" si="101"/>
        <v>0</v>
      </c>
    </row>
    <row r="3233" spans="1:9" hidden="1">
      <c r="A3233" s="1079"/>
      <c r="B3233" s="475"/>
      <c r="C3233" s="916"/>
      <c r="D3233" s="916"/>
      <c r="E3233" s="905"/>
      <c r="F3233" s="865"/>
      <c r="G3233" s="866"/>
      <c r="H3233" s="840">
        <f t="shared" si="100"/>
        <v>0</v>
      </c>
      <c r="I3233" s="840">
        <f t="shared" si="101"/>
        <v>0</v>
      </c>
    </row>
    <row r="3234" spans="1:9" hidden="1">
      <c r="A3234" s="1079"/>
      <c r="B3234" s="475"/>
      <c r="C3234" s="916"/>
      <c r="D3234" s="916"/>
      <c r="E3234" s="905"/>
      <c r="F3234" s="865"/>
      <c r="G3234" s="866"/>
      <c r="H3234" s="840">
        <f t="shared" si="100"/>
        <v>0</v>
      </c>
      <c r="I3234" s="840">
        <f t="shared" si="101"/>
        <v>0</v>
      </c>
    </row>
    <row r="3235" spans="1:9" hidden="1">
      <c r="A3235" s="1079"/>
      <c r="B3235" s="475"/>
      <c r="C3235" s="916"/>
      <c r="D3235" s="916"/>
      <c r="E3235" s="905"/>
      <c r="F3235" s="865"/>
      <c r="G3235" s="866"/>
      <c r="H3235" s="840">
        <f t="shared" si="100"/>
        <v>0</v>
      </c>
      <c r="I3235" s="840">
        <f t="shared" si="101"/>
        <v>0</v>
      </c>
    </row>
    <row r="3236" spans="1:9" hidden="1">
      <c r="A3236" s="1079"/>
      <c r="B3236" s="475"/>
      <c r="C3236" s="916"/>
      <c r="D3236" s="916"/>
      <c r="E3236" s="905"/>
      <c r="F3236" s="865"/>
      <c r="G3236" s="866"/>
      <c r="H3236" s="840">
        <f t="shared" si="100"/>
        <v>0</v>
      </c>
      <c r="I3236" s="840">
        <f t="shared" si="101"/>
        <v>0</v>
      </c>
    </row>
    <row r="3237" spans="1:9" hidden="1">
      <c r="A3237" s="1079"/>
      <c r="B3237" s="475"/>
      <c r="C3237" s="916"/>
      <c r="D3237" s="916"/>
      <c r="E3237" s="905"/>
      <c r="F3237" s="865"/>
      <c r="G3237" s="866"/>
      <c r="H3237" s="840">
        <f t="shared" si="100"/>
        <v>0</v>
      </c>
      <c r="I3237" s="840">
        <f t="shared" si="101"/>
        <v>0</v>
      </c>
    </row>
    <row r="3238" spans="1:9" hidden="1">
      <c r="A3238" s="1079"/>
      <c r="B3238" s="475"/>
      <c r="C3238" s="916"/>
      <c r="D3238" s="916"/>
      <c r="E3238" s="905"/>
      <c r="F3238" s="865"/>
      <c r="G3238" s="866"/>
      <c r="H3238" s="840">
        <f t="shared" si="100"/>
        <v>0</v>
      </c>
      <c r="I3238" s="840">
        <f t="shared" si="101"/>
        <v>0</v>
      </c>
    </row>
    <row r="3239" spans="1:9" hidden="1">
      <c r="A3239" s="1079"/>
      <c r="B3239" s="475"/>
      <c r="C3239" s="916"/>
      <c r="D3239" s="916"/>
      <c r="E3239" s="905"/>
      <c r="F3239" s="865"/>
      <c r="G3239" s="866"/>
      <c r="H3239" s="840">
        <f t="shared" si="100"/>
        <v>0</v>
      </c>
      <c r="I3239" s="840">
        <f t="shared" si="101"/>
        <v>0</v>
      </c>
    </row>
    <row r="3240" spans="1:9" hidden="1">
      <c r="A3240" s="1079"/>
      <c r="B3240" s="475"/>
      <c r="C3240" s="916"/>
      <c r="D3240" s="916"/>
      <c r="E3240" s="905"/>
      <c r="F3240" s="865"/>
      <c r="G3240" s="866"/>
      <c r="H3240" s="840">
        <f t="shared" si="100"/>
        <v>0</v>
      </c>
      <c r="I3240" s="840">
        <f t="shared" si="101"/>
        <v>0</v>
      </c>
    </row>
    <row r="3241" spans="1:9" hidden="1">
      <c r="A3241" s="1079"/>
      <c r="B3241" s="475"/>
      <c r="C3241" s="916"/>
      <c r="D3241" s="916"/>
      <c r="E3241" s="905"/>
      <c r="F3241" s="865"/>
      <c r="G3241" s="866"/>
      <c r="H3241" s="840">
        <f t="shared" si="100"/>
        <v>0</v>
      </c>
      <c r="I3241" s="840">
        <f t="shared" si="101"/>
        <v>0</v>
      </c>
    </row>
    <row r="3242" spans="1:9" hidden="1">
      <c r="A3242" s="1079"/>
      <c r="B3242" s="475"/>
      <c r="C3242" s="916"/>
      <c r="D3242" s="916"/>
      <c r="E3242" s="905"/>
      <c r="F3242" s="865"/>
      <c r="G3242" s="866"/>
      <c r="H3242" s="840">
        <f t="shared" si="100"/>
        <v>0</v>
      </c>
      <c r="I3242" s="840">
        <f t="shared" si="101"/>
        <v>0</v>
      </c>
    </row>
    <row r="3243" spans="1:9" s="302" customFormat="1" hidden="1">
      <c r="A3243" s="1079"/>
      <c r="B3243" s="475"/>
      <c r="C3243" s="916"/>
      <c r="D3243" s="916"/>
      <c r="E3243" s="905"/>
      <c r="F3243" s="851"/>
      <c r="G3243" s="851"/>
      <c r="H3243" s="840">
        <f t="shared" si="100"/>
        <v>0</v>
      </c>
      <c r="I3243" s="840">
        <f t="shared" si="101"/>
        <v>0</v>
      </c>
    </row>
    <row r="3244" spans="1:9" s="302" customFormat="1" hidden="1">
      <c r="A3244" s="1079"/>
      <c r="B3244" s="475"/>
      <c r="C3244" s="916"/>
      <c r="D3244" s="916"/>
      <c r="E3244" s="905"/>
      <c r="F3244" s="851"/>
      <c r="G3244" s="851"/>
      <c r="H3244" s="840">
        <f t="shared" si="100"/>
        <v>0</v>
      </c>
      <c r="I3244" s="840">
        <f t="shared" si="101"/>
        <v>0</v>
      </c>
    </row>
    <row r="3245" spans="1:9" s="302" customFormat="1" hidden="1">
      <c r="A3245" s="1079"/>
      <c r="B3245" s="475"/>
      <c r="C3245" s="916"/>
      <c r="D3245" s="916"/>
      <c r="E3245" s="905"/>
      <c r="F3245" s="851"/>
      <c r="G3245" s="851"/>
      <c r="H3245" s="840">
        <f t="shared" si="100"/>
        <v>0</v>
      </c>
      <c r="I3245" s="840">
        <f t="shared" si="101"/>
        <v>0</v>
      </c>
    </row>
    <row r="3246" spans="1:9" s="302" customFormat="1" hidden="1">
      <c r="A3246" s="1079"/>
      <c r="B3246" s="475"/>
      <c r="C3246" s="916"/>
      <c r="D3246" s="916"/>
      <c r="E3246" s="905"/>
      <c r="F3246" s="851"/>
      <c r="G3246" s="851"/>
      <c r="H3246" s="840">
        <f t="shared" si="100"/>
        <v>0</v>
      </c>
      <c r="I3246" s="840">
        <f t="shared" si="101"/>
        <v>0</v>
      </c>
    </row>
    <row r="3247" spans="1:9" s="302" customFormat="1" hidden="1">
      <c r="A3247" s="1079"/>
      <c r="B3247" s="475"/>
      <c r="C3247" s="916"/>
      <c r="D3247" s="916"/>
      <c r="E3247" s="905"/>
      <c r="F3247" s="851"/>
      <c r="G3247" s="851"/>
      <c r="H3247" s="840">
        <f t="shared" si="100"/>
        <v>0</v>
      </c>
      <c r="I3247" s="840">
        <f t="shared" si="101"/>
        <v>0</v>
      </c>
    </row>
    <row r="3248" spans="1:9" s="302" customFormat="1" hidden="1">
      <c r="A3248" s="1079"/>
      <c r="B3248" s="475"/>
      <c r="C3248" s="916"/>
      <c r="D3248" s="916"/>
      <c r="E3248" s="905"/>
      <c r="F3248" s="851"/>
      <c r="G3248" s="851"/>
      <c r="H3248" s="840">
        <f t="shared" si="100"/>
        <v>0</v>
      </c>
      <c r="I3248" s="840">
        <f t="shared" si="101"/>
        <v>0</v>
      </c>
    </row>
    <row r="3249" spans="1:9" s="302" customFormat="1" hidden="1">
      <c r="A3249" s="1079"/>
      <c r="B3249" s="475"/>
      <c r="C3249" s="916"/>
      <c r="D3249" s="916"/>
      <c r="E3249" s="905"/>
      <c r="F3249" s="851"/>
      <c r="G3249" s="851"/>
      <c r="H3249" s="840">
        <f t="shared" si="100"/>
        <v>0</v>
      </c>
      <c r="I3249" s="840">
        <f t="shared" si="101"/>
        <v>0</v>
      </c>
    </row>
    <row r="3250" spans="1:9" s="302" customFormat="1" hidden="1">
      <c r="A3250" s="1079"/>
      <c r="B3250" s="475"/>
      <c r="C3250" s="916"/>
      <c r="D3250" s="916"/>
      <c r="E3250" s="905"/>
      <c r="F3250" s="851"/>
      <c r="G3250" s="851"/>
      <c r="H3250" s="840">
        <f t="shared" si="100"/>
        <v>0</v>
      </c>
      <c r="I3250" s="840">
        <f t="shared" si="101"/>
        <v>0</v>
      </c>
    </row>
    <row r="3251" spans="1:9" s="302" customFormat="1" hidden="1">
      <c r="A3251" s="1079"/>
      <c r="B3251" s="475"/>
      <c r="C3251" s="916"/>
      <c r="D3251" s="916"/>
      <c r="E3251" s="905"/>
      <c r="F3251" s="851"/>
      <c r="G3251" s="851"/>
      <c r="H3251" s="840">
        <f t="shared" si="100"/>
        <v>0</v>
      </c>
      <c r="I3251" s="840">
        <f t="shared" si="101"/>
        <v>0</v>
      </c>
    </row>
    <row r="3252" spans="1:9" s="302" customFormat="1" hidden="1">
      <c r="A3252" s="1079"/>
      <c r="B3252" s="475"/>
      <c r="C3252" s="916"/>
      <c r="D3252" s="916"/>
      <c r="E3252" s="905"/>
      <c r="F3252" s="851"/>
      <c r="G3252" s="851"/>
      <c r="H3252" s="840">
        <f t="shared" si="100"/>
        <v>0</v>
      </c>
      <c r="I3252" s="840">
        <f t="shared" si="101"/>
        <v>0</v>
      </c>
    </row>
    <row r="3253" spans="1:9" s="302" customFormat="1" hidden="1">
      <c r="A3253" s="1079"/>
      <c r="B3253" s="475"/>
      <c r="C3253" s="916"/>
      <c r="D3253" s="916"/>
      <c r="E3253" s="905"/>
      <c r="F3253" s="851"/>
      <c r="G3253" s="851"/>
      <c r="H3253" s="840">
        <f t="shared" si="100"/>
        <v>0</v>
      </c>
      <c r="I3253" s="840">
        <f t="shared" si="101"/>
        <v>0</v>
      </c>
    </row>
    <row r="3254" spans="1:9" s="302" customFormat="1">
      <c r="A3254" s="1148"/>
      <c r="B3254" s="461" t="s">
        <v>253</v>
      </c>
      <c r="C3254" s="919">
        <f>SUM(C3220:C3253)</f>
        <v>132282</v>
      </c>
      <c r="D3254" s="919">
        <f>SUM(D3220:D3253)</f>
        <v>26197</v>
      </c>
      <c r="E3254" s="919">
        <f>SUM(E3220:E3253)</f>
        <v>106085</v>
      </c>
      <c r="F3254" s="851"/>
      <c r="G3254" s="851"/>
      <c r="H3254" s="840">
        <f t="shared" si="100"/>
        <v>0</v>
      </c>
      <c r="I3254" s="840">
        <f t="shared" si="101"/>
        <v>264564</v>
      </c>
    </row>
    <row r="3255" spans="1:9" s="302" customFormat="1" ht="56.25">
      <c r="A3255" s="1078" t="s">
        <v>130</v>
      </c>
      <c r="B3255" s="475" t="s">
        <v>2215</v>
      </c>
      <c r="C3255" s="908">
        <v>30000</v>
      </c>
      <c r="D3255" s="908"/>
      <c r="E3255" s="905">
        <v>30000</v>
      </c>
      <c r="F3255" s="851"/>
      <c r="G3255" s="851"/>
      <c r="H3255" s="840">
        <f t="shared" si="100"/>
        <v>0</v>
      </c>
      <c r="I3255" s="840">
        <f t="shared" si="101"/>
        <v>60000</v>
      </c>
    </row>
    <row r="3256" spans="1:9" s="302" customFormat="1" ht="112.5">
      <c r="A3256" s="1079"/>
      <c r="B3256" s="475" t="s">
        <v>2216</v>
      </c>
      <c r="C3256" s="908">
        <v>54000</v>
      </c>
      <c r="D3256" s="908">
        <v>14000</v>
      </c>
      <c r="E3256" s="905">
        <f>54000-14000</f>
        <v>40000</v>
      </c>
      <c r="F3256" s="851"/>
      <c r="G3256" s="851"/>
      <c r="H3256" s="840">
        <f t="shared" si="100"/>
        <v>0</v>
      </c>
      <c r="I3256" s="840">
        <f t="shared" si="101"/>
        <v>108000</v>
      </c>
    </row>
    <row r="3257" spans="1:9" s="302" customFormat="1" ht="56.25">
      <c r="A3257" s="1079"/>
      <c r="B3257" s="475" t="s">
        <v>2217</v>
      </c>
      <c r="C3257" s="908">
        <v>12300</v>
      </c>
      <c r="D3257" s="908"/>
      <c r="E3257" s="905">
        <v>12300</v>
      </c>
      <c r="F3257" s="851"/>
      <c r="G3257" s="851"/>
      <c r="H3257" s="840">
        <f t="shared" si="100"/>
        <v>0</v>
      </c>
      <c r="I3257" s="840">
        <f t="shared" si="101"/>
        <v>24600</v>
      </c>
    </row>
    <row r="3258" spans="1:9" s="302" customFormat="1" ht="56.25">
      <c r="A3258" s="1079"/>
      <c r="B3258" s="475" t="s">
        <v>2218</v>
      </c>
      <c r="C3258" s="908">
        <v>4182</v>
      </c>
      <c r="D3258" s="908">
        <v>4182</v>
      </c>
      <c r="E3258" s="905"/>
      <c r="F3258" s="851"/>
      <c r="G3258" s="851"/>
      <c r="H3258" s="840">
        <f t="shared" si="100"/>
        <v>0</v>
      </c>
      <c r="I3258" s="840">
        <f t="shared" si="101"/>
        <v>8364</v>
      </c>
    </row>
    <row r="3259" spans="1:9" s="302" customFormat="1" ht="112.5">
      <c r="A3259" s="1079"/>
      <c r="B3259" s="535" t="s">
        <v>2219</v>
      </c>
      <c r="C3259" s="908">
        <v>75000</v>
      </c>
      <c r="D3259" s="908">
        <v>35000</v>
      </c>
      <c r="E3259" s="905">
        <v>40000</v>
      </c>
      <c r="F3259" s="851"/>
      <c r="G3259" s="851"/>
      <c r="H3259" s="840">
        <f t="shared" si="100"/>
        <v>0</v>
      </c>
      <c r="I3259" s="840">
        <f t="shared" si="101"/>
        <v>150000</v>
      </c>
    </row>
    <row r="3260" spans="1:9" s="302" customFormat="1" ht="37.5">
      <c r="A3260" s="1079"/>
      <c r="B3260" s="535" t="s">
        <v>2220</v>
      </c>
      <c r="C3260" s="914">
        <v>30000</v>
      </c>
      <c r="D3260" s="914"/>
      <c r="E3260" s="914">
        <v>30000</v>
      </c>
      <c r="F3260" s="851"/>
      <c r="G3260" s="851"/>
      <c r="H3260" s="840">
        <f t="shared" si="100"/>
        <v>0</v>
      </c>
      <c r="I3260" s="840">
        <f t="shared" si="101"/>
        <v>60000</v>
      </c>
    </row>
    <row r="3261" spans="1:9" s="302" customFormat="1" ht="56.25">
      <c r="A3261" s="1079"/>
      <c r="B3261" s="475" t="s">
        <v>2624</v>
      </c>
      <c r="C3261" s="905">
        <v>14000</v>
      </c>
      <c r="D3261" s="905"/>
      <c r="E3261" s="905">
        <v>14000</v>
      </c>
      <c r="F3261" s="851"/>
      <c r="G3261" s="851"/>
      <c r="H3261" s="840">
        <f t="shared" si="100"/>
        <v>0</v>
      </c>
      <c r="I3261" s="840">
        <f t="shared" si="101"/>
        <v>28000</v>
      </c>
    </row>
    <row r="3262" spans="1:9" s="302" customFormat="1" hidden="1">
      <c r="A3262" s="1079"/>
      <c r="B3262" s="475"/>
      <c r="C3262" s="916"/>
      <c r="D3262" s="916"/>
      <c r="E3262" s="916"/>
      <c r="F3262" s="851"/>
      <c r="G3262" s="851"/>
      <c r="H3262" s="840">
        <f t="shared" si="100"/>
        <v>0</v>
      </c>
      <c r="I3262" s="840">
        <f t="shared" si="101"/>
        <v>0</v>
      </c>
    </row>
    <row r="3263" spans="1:9" s="302" customFormat="1" hidden="1">
      <c r="A3263" s="1079"/>
      <c r="B3263" s="475"/>
      <c r="C3263" s="916"/>
      <c r="D3263" s="916"/>
      <c r="E3263" s="916"/>
      <c r="F3263" s="851"/>
      <c r="G3263" s="851"/>
      <c r="H3263" s="840">
        <f t="shared" si="100"/>
        <v>0</v>
      </c>
      <c r="I3263" s="840">
        <f t="shared" si="101"/>
        <v>0</v>
      </c>
    </row>
    <row r="3264" spans="1:9" s="302" customFormat="1" hidden="1">
      <c r="A3264" s="1079"/>
      <c r="B3264" s="475"/>
      <c r="C3264" s="916"/>
      <c r="D3264" s="916"/>
      <c r="E3264" s="916"/>
      <c r="F3264" s="851"/>
      <c r="G3264" s="851"/>
      <c r="H3264" s="840">
        <f t="shared" si="100"/>
        <v>0</v>
      </c>
      <c r="I3264" s="840">
        <f t="shared" si="101"/>
        <v>0</v>
      </c>
    </row>
    <row r="3265" spans="1:9" s="302" customFormat="1" hidden="1">
      <c r="A3265" s="1079"/>
      <c r="B3265" s="475"/>
      <c r="C3265" s="916"/>
      <c r="D3265" s="916"/>
      <c r="E3265" s="905"/>
      <c r="F3265" s="851"/>
      <c r="G3265" s="851"/>
      <c r="H3265" s="840">
        <f t="shared" si="100"/>
        <v>0</v>
      </c>
      <c r="I3265" s="840">
        <f t="shared" si="101"/>
        <v>0</v>
      </c>
    </row>
    <row r="3266" spans="1:9" s="302" customFormat="1" hidden="1">
      <c r="A3266" s="1079"/>
      <c r="B3266" s="475"/>
      <c r="C3266" s="916"/>
      <c r="D3266" s="916"/>
      <c r="E3266" s="905"/>
      <c r="F3266" s="851"/>
      <c r="G3266" s="851"/>
      <c r="H3266" s="840">
        <f t="shared" si="100"/>
        <v>0</v>
      </c>
      <c r="I3266" s="840">
        <f t="shared" si="101"/>
        <v>0</v>
      </c>
    </row>
    <row r="3267" spans="1:9" s="302" customFormat="1" hidden="1">
      <c r="A3267" s="1079"/>
      <c r="B3267" s="475"/>
      <c r="C3267" s="916"/>
      <c r="D3267" s="916"/>
      <c r="E3267" s="905"/>
      <c r="F3267" s="851"/>
      <c r="G3267" s="851"/>
      <c r="H3267" s="840">
        <f t="shared" si="100"/>
        <v>0</v>
      </c>
      <c r="I3267" s="840">
        <f t="shared" si="101"/>
        <v>0</v>
      </c>
    </row>
    <row r="3268" spans="1:9" s="302" customFormat="1" hidden="1">
      <c r="A3268" s="1079"/>
      <c r="B3268" s="475"/>
      <c r="C3268" s="916"/>
      <c r="D3268" s="916"/>
      <c r="E3268" s="905"/>
      <c r="F3268" s="851"/>
      <c r="G3268" s="851"/>
      <c r="H3268" s="840">
        <f t="shared" si="100"/>
        <v>0</v>
      </c>
      <c r="I3268" s="840">
        <f t="shared" si="101"/>
        <v>0</v>
      </c>
    </row>
    <row r="3269" spans="1:9" s="302" customFormat="1" hidden="1">
      <c r="A3269" s="1079"/>
      <c r="B3269" s="475"/>
      <c r="C3269" s="916"/>
      <c r="D3269" s="916"/>
      <c r="E3269" s="905"/>
      <c r="F3269" s="851"/>
      <c r="G3269" s="851"/>
      <c r="H3269" s="840">
        <f t="shared" si="100"/>
        <v>0</v>
      </c>
      <c r="I3269" s="840">
        <f t="shared" si="101"/>
        <v>0</v>
      </c>
    </row>
    <row r="3270" spans="1:9" s="302" customFormat="1" hidden="1">
      <c r="A3270" s="1079"/>
      <c r="B3270" s="475"/>
      <c r="C3270" s="916"/>
      <c r="D3270" s="916"/>
      <c r="E3270" s="905"/>
      <c r="F3270" s="851"/>
      <c r="G3270" s="851"/>
      <c r="H3270" s="840">
        <f t="shared" si="100"/>
        <v>0</v>
      </c>
      <c r="I3270" s="840">
        <f t="shared" si="101"/>
        <v>0</v>
      </c>
    </row>
    <row r="3271" spans="1:9" s="302" customFormat="1" hidden="1">
      <c r="A3271" s="1079"/>
      <c r="B3271" s="475"/>
      <c r="C3271" s="916"/>
      <c r="D3271" s="916"/>
      <c r="E3271" s="905"/>
      <c r="F3271" s="851"/>
      <c r="G3271" s="851"/>
      <c r="H3271" s="840">
        <f t="shared" si="100"/>
        <v>0</v>
      </c>
      <c r="I3271" s="840">
        <f t="shared" si="101"/>
        <v>0</v>
      </c>
    </row>
    <row r="3272" spans="1:9" s="302" customFormat="1" hidden="1">
      <c r="A3272" s="1079"/>
      <c r="B3272" s="475"/>
      <c r="C3272" s="916"/>
      <c r="D3272" s="916"/>
      <c r="E3272" s="905"/>
      <c r="F3272" s="851"/>
      <c r="G3272" s="851"/>
      <c r="H3272" s="840">
        <f t="shared" si="100"/>
        <v>0</v>
      </c>
      <c r="I3272" s="840">
        <f t="shared" si="101"/>
        <v>0</v>
      </c>
    </row>
    <row r="3273" spans="1:9" s="302" customFormat="1" hidden="1">
      <c r="A3273" s="1079"/>
      <c r="B3273" s="475"/>
      <c r="C3273" s="916"/>
      <c r="D3273" s="916"/>
      <c r="E3273" s="905"/>
      <c r="F3273" s="851"/>
      <c r="G3273" s="851"/>
      <c r="H3273" s="840">
        <f t="shared" ref="H3273:H3336" si="102">E3273+D3273-C3273</f>
        <v>0</v>
      </c>
      <c r="I3273" s="840">
        <f t="shared" ref="I3273:I3336" si="103">SUM(C3273:E3273)</f>
        <v>0</v>
      </c>
    </row>
    <row r="3274" spans="1:9" s="302" customFormat="1" hidden="1">
      <c r="A3274" s="1079"/>
      <c r="B3274" s="475"/>
      <c r="C3274" s="916"/>
      <c r="D3274" s="916"/>
      <c r="E3274" s="905"/>
      <c r="F3274" s="851"/>
      <c r="G3274" s="851"/>
      <c r="H3274" s="840">
        <f t="shared" si="102"/>
        <v>0</v>
      </c>
      <c r="I3274" s="840">
        <f t="shared" si="103"/>
        <v>0</v>
      </c>
    </row>
    <row r="3275" spans="1:9" s="302" customFormat="1" hidden="1">
      <c r="A3275" s="1079"/>
      <c r="B3275" s="475"/>
      <c r="C3275" s="916"/>
      <c r="D3275" s="916"/>
      <c r="E3275" s="905"/>
      <c r="F3275" s="851"/>
      <c r="G3275" s="851"/>
      <c r="H3275" s="840">
        <f t="shared" si="102"/>
        <v>0</v>
      </c>
      <c r="I3275" s="840">
        <f t="shared" si="103"/>
        <v>0</v>
      </c>
    </row>
    <row r="3276" spans="1:9" s="302" customFormat="1" hidden="1">
      <c r="A3276" s="1079"/>
      <c r="B3276" s="475"/>
      <c r="C3276" s="916"/>
      <c r="D3276" s="916"/>
      <c r="E3276" s="905"/>
      <c r="F3276" s="851"/>
      <c r="G3276" s="851"/>
      <c r="H3276" s="840">
        <f t="shared" si="102"/>
        <v>0</v>
      </c>
      <c r="I3276" s="840">
        <f t="shared" si="103"/>
        <v>0</v>
      </c>
    </row>
    <row r="3277" spans="1:9" s="302" customFormat="1" hidden="1">
      <c r="A3277" s="1079"/>
      <c r="B3277" s="475"/>
      <c r="C3277" s="916"/>
      <c r="D3277" s="916"/>
      <c r="E3277" s="905"/>
      <c r="F3277" s="851"/>
      <c r="G3277" s="851"/>
      <c r="H3277" s="840">
        <f t="shared" si="102"/>
        <v>0</v>
      </c>
      <c r="I3277" s="840">
        <f t="shared" si="103"/>
        <v>0</v>
      </c>
    </row>
    <row r="3278" spans="1:9" s="302" customFormat="1" hidden="1">
      <c r="A3278" s="1079"/>
      <c r="B3278" s="475"/>
      <c r="C3278" s="916"/>
      <c r="D3278" s="916"/>
      <c r="E3278" s="905"/>
      <c r="F3278" s="851"/>
      <c r="G3278" s="851"/>
      <c r="H3278" s="840">
        <f t="shared" si="102"/>
        <v>0</v>
      </c>
      <c r="I3278" s="840">
        <f t="shared" si="103"/>
        <v>0</v>
      </c>
    </row>
    <row r="3279" spans="1:9" s="302" customFormat="1" hidden="1">
      <c r="A3279" s="1079"/>
      <c r="B3279" s="475"/>
      <c r="C3279" s="916"/>
      <c r="D3279" s="916"/>
      <c r="E3279" s="905"/>
      <c r="F3279" s="851"/>
      <c r="G3279" s="851"/>
      <c r="H3279" s="840">
        <f t="shared" si="102"/>
        <v>0</v>
      </c>
      <c r="I3279" s="840">
        <f t="shared" si="103"/>
        <v>0</v>
      </c>
    </row>
    <row r="3280" spans="1:9" s="302" customFormat="1" hidden="1">
      <c r="A3280" s="1079"/>
      <c r="B3280" s="475"/>
      <c r="C3280" s="916"/>
      <c r="D3280" s="916"/>
      <c r="E3280" s="905"/>
      <c r="F3280" s="851"/>
      <c r="G3280" s="851"/>
      <c r="H3280" s="840">
        <f t="shared" si="102"/>
        <v>0</v>
      </c>
      <c r="I3280" s="840">
        <f t="shared" si="103"/>
        <v>0</v>
      </c>
    </row>
    <row r="3281" spans="1:9" s="302" customFormat="1" hidden="1">
      <c r="A3281" s="1079"/>
      <c r="B3281" s="475"/>
      <c r="C3281" s="916"/>
      <c r="D3281" s="916"/>
      <c r="E3281" s="905"/>
      <c r="F3281" s="851"/>
      <c r="G3281" s="851"/>
      <c r="H3281" s="840">
        <f t="shared" si="102"/>
        <v>0</v>
      </c>
      <c r="I3281" s="840">
        <f t="shared" si="103"/>
        <v>0</v>
      </c>
    </row>
    <row r="3282" spans="1:9" s="302" customFormat="1" hidden="1">
      <c r="A3282" s="1079"/>
      <c r="B3282" s="475"/>
      <c r="C3282" s="916"/>
      <c r="D3282" s="916"/>
      <c r="E3282" s="905"/>
      <c r="F3282" s="851"/>
      <c r="G3282" s="851"/>
      <c r="H3282" s="840">
        <f t="shared" si="102"/>
        <v>0</v>
      </c>
      <c r="I3282" s="840">
        <f t="shared" si="103"/>
        <v>0</v>
      </c>
    </row>
    <row r="3283" spans="1:9" s="302" customFormat="1" hidden="1">
      <c r="A3283" s="1079"/>
      <c r="B3283" s="475"/>
      <c r="C3283" s="916"/>
      <c r="D3283" s="916"/>
      <c r="E3283" s="905"/>
      <c r="F3283" s="851"/>
      <c r="G3283" s="851"/>
      <c r="H3283" s="840">
        <f t="shared" si="102"/>
        <v>0</v>
      </c>
      <c r="I3283" s="840">
        <f t="shared" si="103"/>
        <v>0</v>
      </c>
    </row>
    <row r="3284" spans="1:9" s="302" customFormat="1" hidden="1">
      <c r="A3284" s="1079"/>
      <c r="B3284" s="475"/>
      <c r="C3284" s="916"/>
      <c r="D3284" s="916"/>
      <c r="E3284" s="905"/>
      <c r="F3284" s="851"/>
      <c r="G3284" s="851"/>
      <c r="H3284" s="840">
        <f t="shared" si="102"/>
        <v>0</v>
      </c>
      <c r="I3284" s="840">
        <f t="shared" si="103"/>
        <v>0</v>
      </c>
    </row>
    <row r="3285" spans="1:9" s="302" customFormat="1" hidden="1">
      <c r="A3285" s="1079"/>
      <c r="B3285" s="475"/>
      <c r="C3285" s="916"/>
      <c r="D3285" s="916"/>
      <c r="E3285" s="905"/>
      <c r="F3285" s="851"/>
      <c r="G3285" s="851"/>
      <c r="H3285" s="840">
        <f t="shared" si="102"/>
        <v>0</v>
      </c>
      <c r="I3285" s="840">
        <f t="shared" si="103"/>
        <v>0</v>
      </c>
    </row>
    <row r="3286" spans="1:9" s="302" customFormat="1" hidden="1">
      <c r="A3286" s="1079"/>
      <c r="B3286" s="475"/>
      <c r="C3286" s="916"/>
      <c r="D3286" s="916"/>
      <c r="E3286" s="905"/>
      <c r="F3286" s="851"/>
      <c r="G3286" s="851"/>
      <c r="H3286" s="840">
        <f t="shared" si="102"/>
        <v>0</v>
      </c>
      <c r="I3286" s="840">
        <f t="shared" si="103"/>
        <v>0</v>
      </c>
    </row>
    <row r="3287" spans="1:9" s="302" customFormat="1" hidden="1">
      <c r="A3287" s="1079"/>
      <c r="B3287" s="475"/>
      <c r="C3287" s="916"/>
      <c r="D3287" s="916"/>
      <c r="E3287" s="905"/>
      <c r="F3287" s="851"/>
      <c r="G3287" s="851"/>
      <c r="H3287" s="840">
        <f t="shared" si="102"/>
        <v>0</v>
      </c>
      <c r="I3287" s="840">
        <f t="shared" si="103"/>
        <v>0</v>
      </c>
    </row>
    <row r="3288" spans="1:9" s="302" customFormat="1" hidden="1">
      <c r="A3288" s="1079"/>
      <c r="B3288" s="475"/>
      <c r="C3288" s="916"/>
      <c r="D3288" s="916"/>
      <c r="E3288" s="905"/>
      <c r="F3288" s="851"/>
      <c r="G3288" s="851"/>
      <c r="H3288" s="840">
        <f t="shared" si="102"/>
        <v>0</v>
      </c>
      <c r="I3288" s="840">
        <f t="shared" si="103"/>
        <v>0</v>
      </c>
    </row>
    <row r="3289" spans="1:9" s="302" customFormat="1">
      <c r="A3289" s="1148"/>
      <c r="B3289" s="461" t="s">
        <v>253</v>
      </c>
      <c r="C3289" s="945">
        <f>SUM(C3255:C3288)</f>
        <v>219482</v>
      </c>
      <c r="D3289" s="945">
        <f>SUM(D3255:D3288)</f>
        <v>53182</v>
      </c>
      <c r="E3289" s="945">
        <f>SUM(E3255:E3288)</f>
        <v>166300</v>
      </c>
      <c r="F3289" s="851"/>
      <c r="G3289" s="851"/>
      <c r="H3289" s="840">
        <f t="shared" si="102"/>
        <v>0</v>
      </c>
      <c r="I3289" s="840">
        <f t="shared" si="103"/>
        <v>438964</v>
      </c>
    </row>
    <row r="3290" spans="1:9" s="302" customFormat="1" ht="56.25">
      <c r="A3290" s="1078" t="s">
        <v>131</v>
      </c>
      <c r="B3290" s="535" t="s">
        <v>1113</v>
      </c>
      <c r="C3290" s="905">
        <v>20000</v>
      </c>
      <c r="D3290" s="905"/>
      <c r="E3290" s="905">
        <v>20000</v>
      </c>
      <c r="F3290" s="851"/>
      <c r="G3290" s="851"/>
      <c r="H3290" s="840">
        <f t="shared" si="102"/>
        <v>0</v>
      </c>
      <c r="I3290" s="840">
        <f t="shared" si="103"/>
        <v>40000</v>
      </c>
    </row>
    <row r="3291" spans="1:9" s="302" customFormat="1" ht="37.5">
      <c r="A3291" s="1079"/>
      <c r="B3291" s="475" t="s">
        <v>1487</v>
      </c>
      <c r="C3291" s="530">
        <v>10000</v>
      </c>
      <c r="D3291" s="530"/>
      <c r="E3291" s="905">
        <v>10000</v>
      </c>
      <c r="F3291" s="851"/>
      <c r="G3291" s="851"/>
      <c r="H3291" s="840">
        <f t="shared" si="102"/>
        <v>0</v>
      </c>
      <c r="I3291" s="840">
        <f t="shared" si="103"/>
        <v>20000</v>
      </c>
    </row>
    <row r="3292" spans="1:9" s="302" customFormat="1" ht="75">
      <c r="A3292" s="1079"/>
      <c r="B3292" s="475" t="s">
        <v>2221</v>
      </c>
      <c r="C3292" s="908">
        <v>21170</v>
      </c>
      <c r="D3292" s="908">
        <v>21170</v>
      </c>
      <c r="E3292" s="905"/>
      <c r="F3292" s="851"/>
      <c r="G3292" s="851"/>
      <c r="H3292" s="840">
        <f t="shared" si="102"/>
        <v>0</v>
      </c>
      <c r="I3292" s="840">
        <f t="shared" si="103"/>
        <v>42340</v>
      </c>
    </row>
    <row r="3293" spans="1:9" s="302" customFormat="1" ht="75">
      <c r="A3293" s="1079"/>
      <c r="B3293" s="475" t="s">
        <v>2492</v>
      </c>
      <c r="C3293" s="908">
        <v>18550</v>
      </c>
      <c r="D3293" s="908"/>
      <c r="E3293" s="905">
        <v>18550</v>
      </c>
      <c r="F3293" s="851"/>
      <c r="G3293" s="851"/>
      <c r="H3293" s="840">
        <f t="shared" si="102"/>
        <v>0</v>
      </c>
      <c r="I3293" s="840">
        <f t="shared" si="103"/>
        <v>37100</v>
      </c>
    </row>
    <row r="3294" spans="1:9" s="302" customFormat="1" ht="56.25">
      <c r="A3294" s="1079"/>
      <c r="B3294" s="475" t="s">
        <v>2493</v>
      </c>
      <c r="C3294" s="908">
        <v>4163</v>
      </c>
      <c r="D3294" s="908">
        <v>4163</v>
      </c>
      <c r="E3294" s="905"/>
      <c r="F3294" s="851"/>
      <c r="G3294" s="851"/>
      <c r="H3294" s="840">
        <f t="shared" si="102"/>
        <v>0</v>
      </c>
      <c r="I3294" s="840">
        <f t="shared" si="103"/>
        <v>8326</v>
      </c>
    </row>
    <row r="3295" spans="1:9" s="302" customFormat="1" ht="37.5">
      <c r="A3295" s="1079"/>
      <c r="B3295" s="475" t="s">
        <v>2625</v>
      </c>
      <c r="C3295" s="905">
        <v>50000</v>
      </c>
      <c r="D3295" s="905">
        <v>50000</v>
      </c>
      <c r="E3295" s="905"/>
      <c r="F3295" s="851"/>
      <c r="G3295" s="851"/>
      <c r="H3295" s="840">
        <f t="shared" si="102"/>
        <v>0</v>
      </c>
      <c r="I3295" s="840">
        <f t="shared" si="103"/>
        <v>100000</v>
      </c>
    </row>
    <row r="3296" spans="1:9" s="302" customFormat="1" ht="56.25">
      <c r="A3296" s="1079"/>
      <c r="B3296" s="475" t="s">
        <v>2939</v>
      </c>
      <c r="C3296" s="908">
        <v>4000</v>
      </c>
      <c r="D3296" s="908">
        <v>4000</v>
      </c>
      <c r="E3296" s="905"/>
      <c r="F3296" s="851"/>
      <c r="G3296" s="851"/>
      <c r="H3296" s="840">
        <f t="shared" si="102"/>
        <v>0</v>
      </c>
      <c r="I3296" s="840">
        <f t="shared" si="103"/>
        <v>8000</v>
      </c>
    </row>
    <row r="3297" spans="1:9" s="302" customFormat="1" ht="56.25">
      <c r="A3297" s="1079"/>
      <c r="B3297" s="475" t="s">
        <v>2940</v>
      </c>
      <c r="C3297" s="915">
        <v>10000</v>
      </c>
      <c r="D3297" s="915"/>
      <c r="E3297" s="914">
        <v>10000</v>
      </c>
      <c r="F3297" s="851"/>
      <c r="G3297" s="851"/>
      <c r="H3297" s="840">
        <f t="shared" si="102"/>
        <v>0</v>
      </c>
      <c r="I3297" s="840">
        <f t="shared" si="103"/>
        <v>20000</v>
      </c>
    </row>
    <row r="3298" spans="1:9" s="302" customFormat="1" ht="75">
      <c r="A3298" s="1079"/>
      <c r="B3298" s="475" t="s">
        <v>2941</v>
      </c>
      <c r="C3298" s="915">
        <v>10000</v>
      </c>
      <c r="D3298" s="915">
        <v>10000</v>
      </c>
      <c r="E3298" s="914"/>
      <c r="F3298" s="851"/>
      <c r="G3298" s="851"/>
      <c r="H3298" s="840">
        <f t="shared" si="102"/>
        <v>0</v>
      </c>
      <c r="I3298" s="840">
        <f t="shared" si="103"/>
        <v>20000</v>
      </c>
    </row>
    <row r="3299" spans="1:9" s="302" customFormat="1" ht="56.25">
      <c r="A3299" s="1079"/>
      <c r="B3299" s="475" t="s">
        <v>2942</v>
      </c>
      <c r="C3299" s="908">
        <v>15000</v>
      </c>
      <c r="D3299" s="908"/>
      <c r="E3299" s="908">
        <v>15000</v>
      </c>
      <c r="F3299" s="851"/>
      <c r="G3299" s="851"/>
      <c r="H3299" s="840">
        <f t="shared" si="102"/>
        <v>0</v>
      </c>
      <c r="I3299" s="840">
        <f t="shared" si="103"/>
        <v>30000</v>
      </c>
    </row>
    <row r="3300" spans="1:9" s="302" customFormat="1" ht="56.25">
      <c r="A3300" s="1079"/>
      <c r="B3300" s="475" t="s">
        <v>2943</v>
      </c>
      <c r="C3300" s="915">
        <v>441</v>
      </c>
      <c r="D3300" s="915">
        <v>441</v>
      </c>
      <c r="E3300" s="914"/>
      <c r="F3300" s="851"/>
      <c r="G3300" s="851"/>
      <c r="H3300" s="840">
        <f t="shared" si="102"/>
        <v>0</v>
      </c>
      <c r="I3300" s="840">
        <f t="shared" si="103"/>
        <v>882</v>
      </c>
    </row>
    <row r="3301" spans="1:9" s="302" customFormat="1" hidden="1">
      <c r="A3301" s="1079"/>
      <c r="B3301" s="475"/>
      <c r="C3301" s="916"/>
      <c r="D3301" s="916"/>
      <c r="E3301" s="905"/>
      <c r="F3301" s="851"/>
      <c r="G3301" s="851"/>
      <c r="H3301" s="840">
        <f t="shared" si="102"/>
        <v>0</v>
      </c>
      <c r="I3301" s="840">
        <f t="shared" si="103"/>
        <v>0</v>
      </c>
    </row>
    <row r="3302" spans="1:9" s="302" customFormat="1" hidden="1">
      <c r="A3302" s="1079"/>
      <c r="B3302" s="475"/>
      <c r="C3302" s="916"/>
      <c r="D3302" s="916"/>
      <c r="E3302" s="905"/>
      <c r="F3302" s="851"/>
      <c r="G3302" s="851"/>
      <c r="H3302" s="840">
        <f t="shared" si="102"/>
        <v>0</v>
      </c>
      <c r="I3302" s="840">
        <f t="shared" si="103"/>
        <v>0</v>
      </c>
    </row>
    <row r="3303" spans="1:9" s="302" customFormat="1" hidden="1">
      <c r="A3303" s="1079"/>
      <c r="B3303" s="475"/>
      <c r="C3303" s="916"/>
      <c r="D3303" s="916"/>
      <c r="E3303" s="905"/>
      <c r="F3303" s="851"/>
      <c r="G3303" s="851"/>
      <c r="H3303" s="840">
        <f t="shared" si="102"/>
        <v>0</v>
      </c>
      <c r="I3303" s="840">
        <f t="shared" si="103"/>
        <v>0</v>
      </c>
    </row>
    <row r="3304" spans="1:9" s="302" customFormat="1" hidden="1">
      <c r="A3304" s="1079"/>
      <c r="B3304" s="475"/>
      <c r="C3304" s="916"/>
      <c r="D3304" s="916"/>
      <c r="E3304" s="905"/>
      <c r="F3304" s="851"/>
      <c r="G3304" s="851"/>
      <c r="H3304" s="840">
        <f t="shared" si="102"/>
        <v>0</v>
      </c>
      <c r="I3304" s="840">
        <f t="shared" si="103"/>
        <v>0</v>
      </c>
    </row>
    <row r="3305" spans="1:9" s="302" customFormat="1" hidden="1">
      <c r="A3305" s="1079"/>
      <c r="B3305" s="475"/>
      <c r="C3305" s="916"/>
      <c r="D3305" s="916"/>
      <c r="E3305" s="905"/>
      <c r="F3305" s="851"/>
      <c r="G3305" s="851"/>
      <c r="H3305" s="840">
        <f t="shared" si="102"/>
        <v>0</v>
      </c>
      <c r="I3305" s="840">
        <f t="shared" si="103"/>
        <v>0</v>
      </c>
    </row>
    <row r="3306" spans="1:9" s="302" customFormat="1" hidden="1">
      <c r="A3306" s="1079"/>
      <c r="B3306" s="475"/>
      <c r="C3306" s="916"/>
      <c r="D3306" s="916"/>
      <c r="E3306" s="905"/>
      <c r="F3306" s="851"/>
      <c r="G3306" s="851"/>
      <c r="H3306" s="840">
        <f t="shared" si="102"/>
        <v>0</v>
      </c>
      <c r="I3306" s="840">
        <f t="shared" si="103"/>
        <v>0</v>
      </c>
    </row>
    <row r="3307" spans="1:9" s="302" customFormat="1" hidden="1">
      <c r="A3307" s="1079"/>
      <c r="B3307" s="475"/>
      <c r="C3307" s="916"/>
      <c r="D3307" s="916"/>
      <c r="E3307" s="905"/>
      <c r="F3307" s="851"/>
      <c r="G3307" s="851"/>
      <c r="H3307" s="840">
        <f t="shared" si="102"/>
        <v>0</v>
      </c>
      <c r="I3307" s="840">
        <f t="shared" si="103"/>
        <v>0</v>
      </c>
    </row>
    <row r="3308" spans="1:9" s="302" customFormat="1" hidden="1">
      <c r="A3308" s="1079"/>
      <c r="B3308" s="475"/>
      <c r="C3308" s="916"/>
      <c r="D3308" s="916"/>
      <c r="E3308" s="905"/>
      <c r="F3308" s="851"/>
      <c r="G3308" s="851"/>
      <c r="H3308" s="840">
        <f t="shared" si="102"/>
        <v>0</v>
      </c>
      <c r="I3308" s="840">
        <f t="shared" si="103"/>
        <v>0</v>
      </c>
    </row>
    <row r="3309" spans="1:9" s="302" customFormat="1" hidden="1">
      <c r="A3309" s="1079"/>
      <c r="B3309" s="475"/>
      <c r="C3309" s="916"/>
      <c r="D3309" s="916"/>
      <c r="E3309" s="905"/>
      <c r="F3309" s="851"/>
      <c r="G3309" s="851"/>
      <c r="H3309" s="840">
        <f t="shared" si="102"/>
        <v>0</v>
      </c>
      <c r="I3309" s="840">
        <f t="shared" si="103"/>
        <v>0</v>
      </c>
    </row>
    <row r="3310" spans="1:9" s="302" customFormat="1" hidden="1">
      <c r="A3310" s="1079"/>
      <c r="B3310" s="475"/>
      <c r="C3310" s="916"/>
      <c r="D3310" s="916"/>
      <c r="E3310" s="905"/>
      <c r="F3310" s="851"/>
      <c r="G3310" s="851"/>
      <c r="H3310" s="840">
        <f t="shared" si="102"/>
        <v>0</v>
      </c>
      <c r="I3310" s="840">
        <f t="shared" si="103"/>
        <v>0</v>
      </c>
    </row>
    <row r="3311" spans="1:9" s="302" customFormat="1" hidden="1">
      <c r="A3311" s="1079"/>
      <c r="B3311" s="475"/>
      <c r="C3311" s="916"/>
      <c r="D3311" s="916"/>
      <c r="E3311" s="905"/>
      <c r="F3311" s="851"/>
      <c r="G3311" s="851"/>
      <c r="H3311" s="840">
        <f t="shared" si="102"/>
        <v>0</v>
      </c>
      <c r="I3311" s="840">
        <f t="shared" si="103"/>
        <v>0</v>
      </c>
    </row>
    <row r="3312" spans="1:9" s="302" customFormat="1" hidden="1">
      <c r="A3312" s="1079"/>
      <c r="B3312" s="475"/>
      <c r="C3312" s="916"/>
      <c r="D3312" s="916"/>
      <c r="E3312" s="905"/>
      <c r="F3312" s="851"/>
      <c r="G3312" s="851"/>
      <c r="H3312" s="840">
        <f t="shared" si="102"/>
        <v>0</v>
      </c>
      <c r="I3312" s="840">
        <f t="shared" si="103"/>
        <v>0</v>
      </c>
    </row>
    <row r="3313" spans="1:9" s="302" customFormat="1" hidden="1">
      <c r="A3313" s="1079"/>
      <c r="B3313" s="475"/>
      <c r="C3313" s="916"/>
      <c r="D3313" s="916"/>
      <c r="E3313" s="905"/>
      <c r="F3313" s="851"/>
      <c r="G3313" s="851"/>
      <c r="H3313" s="840">
        <f t="shared" si="102"/>
        <v>0</v>
      </c>
      <c r="I3313" s="840">
        <f t="shared" si="103"/>
        <v>0</v>
      </c>
    </row>
    <row r="3314" spans="1:9" s="302" customFormat="1" hidden="1">
      <c r="A3314" s="1079"/>
      <c r="B3314" s="475"/>
      <c r="C3314" s="916"/>
      <c r="D3314" s="916"/>
      <c r="E3314" s="905"/>
      <c r="F3314" s="851"/>
      <c r="G3314" s="851"/>
      <c r="H3314" s="840">
        <f t="shared" si="102"/>
        <v>0</v>
      </c>
      <c r="I3314" s="840">
        <f t="shared" si="103"/>
        <v>0</v>
      </c>
    </row>
    <row r="3315" spans="1:9" s="302" customFormat="1" hidden="1">
      <c r="A3315" s="1079"/>
      <c r="B3315" s="475"/>
      <c r="C3315" s="916"/>
      <c r="D3315" s="916"/>
      <c r="E3315" s="905"/>
      <c r="F3315" s="851"/>
      <c r="G3315" s="851"/>
      <c r="H3315" s="840">
        <f t="shared" si="102"/>
        <v>0</v>
      </c>
      <c r="I3315" s="840">
        <f t="shared" si="103"/>
        <v>0</v>
      </c>
    </row>
    <row r="3316" spans="1:9" s="302" customFormat="1" hidden="1">
      <c r="A3316" s="1079"/>
      <c r="B3316" s="475"/>
      <c r="C3316" s="916"/>
      <c r="D3316" s="916"/>
      <c r="E3316" s="905"/>
      <c r="F3316" s="851"/>
      <c r="G3316" s="851"/>
      <c r="H3316" s="840">
        <f t="shared" si="102"/>
        <v>0</v>
      </c>
      <c r="I3316" s="840">
        <f t="shared" si="103"/>
        <v>0</v>
      </c>
    </row>
    <row r="3317" spans="1:9" s="302" customFormat="1" hidden="1">
      <c r="A3317" s="1079"/>
      <c r="B3317" s="475"/>
      <c r="C3317" s="916"/>
      <c r="D3317" s="916"/>
      <c r="E3317" s="905"/>
      <c r="F3317" s="851"/>
      <c r="G3317" s="851"/>
      <c r="H3317" s="840">
        <f t="shared" si="102"/>
        <v>0</v>
      </c>
      <c r="I3317" s="840">
        <f t="shared" si="103"/>
        <v>0</v>
      </c>
    </row>
    <row r="3318" spans="1:9" s="302" customFormat="1" hidden="1">
      <c r="A3318" s="1079"/>
      <c r="B3318" s="475"/>
      <c r="C3318" s="916"/>
      <c r="D3318" s="916"/>
      <c r="E3318" s="905"/>
      <c r="F3318" s="851"/>
      <c r="G3318" s="851"/>
      <c r="H3318" s="840">
        <f t="shared" si="102"/>
        <v>0</v>
      </c>
      <c r="I3318" s="840">
        <f t="shared" si="103"/>
        <v>0</v>
      </c>
    </row>
    <row r="3319" spans="1:9" s="302" customFormat="1" hidden="1">
      <c r="A3319" s="1079"/>
      <c r="B3319" s="475"/>
      <c r="C3319" s="916"/>
      <c r="D3319" s="916"/>
      <c r="E3319" s="905"/>
      <c r="F3319" s="851"/>
      <c r="G3319" s="851"/>
      <c r="H3319" s="840">
        <f t="shared" si="102"/>
        <v>0</v>
      </c>
      <c r="I3319" s="840">
        <f t="shared" si="103"/>
        <v>0</v>
      </c>
    </row>
    <row r="3320" spans="1:9" s="302" customFormat="1" hidden="1">
      <c r="A3320" s="1079"/>
      <c r="B3320" s="475"/>
      <c r="C3320" s="916"/>
      <c r="D3320" s="916"/>
      <c r="E3320" s="905"/>
      <c r="F3320" s="851"/>
      <c r="G3320" s="851"/>
      <c r="H3320" s="840">
        <f t="shared" si="102"/>
        <v>0</v>
      </c>
      <c r="I3320" s="840">
        <f t="shared" si="103"/>
        <v>0</v>
      </c>
    </row>
    <row r="3321" spans="1:9" s="302" customFormat="1" hidden="1">
      <c r="A3321" s="1079"/>
      <c r="B3321" s="475"/>
      <c r="C3321" s="916"/>
      <c r="D3321" s="916"/>
      <c r="E3321" s="905"/>
      <c r="F3321" s="851"/>
      <c r="G3321" s="851"/>
      <c r="H3321" s="840">
        <f t="shared" si="102"/>
        <v>0</v>
      </c>
      <c r="I3321" s="840">
        <f t="shared" si="103"/>
        <v>0</v>
      </c>
    </row>
    <row r="3322" spans="1:9" s="302" customFormat="1" hidden="1">
      <c r="A3322" s="1079"/>
      <c r="B3322" s="475"/>
      <c r="C3322" s="916"/>
      <c r="D3322" s="916"/>
      <c r="E3322" s="905"/>
      <c r="F3322" s="851"/>
      <c r="G3322" s="851"/>
      <c r="H3322" s="840">
        <f t="shared" si="102"/>
        <v>0</v>
      </c>
      <c r="I3322" s="840">
        <f t="shared" si="103"/>
        <v>0</v>
      </c>
    </row>
    <row r="3323" spans="1:9" s="302" customFormat="1" hidden="1">
      <c r="A3323" s="1079"/>
      <c r="B3323" s="475"/>
      <c r="C3323" s="916"/>
      <c r="D3323" s="916"/>
      <c r="E3323" s="905"/>
      <c r="F3323" s="851"/>
      <c r="G3323" s="851"/>
      <c r="H3323" s="840">
        <f t="shared" si="102"/>
        <v>0</v>
      </c>
      <c r="I3323" s="840">
        <f t="shared" si="103"/>
        <v>0</v>
      </c>
    </row>
    <row r="3324" spans="1:9" s="302" customFormat="1">
      <c r="A3324" s="1148"/>
      <c r="B3324" s="461" t="s">
        <v>253</v>
      </c>
      <c r="C3324" s="919">
        <f>SUM(C3290:C3323)</f>
        <v>163324</v>
      </c>
      <c r="D3324" s="919">
        <f>SUM(D3290:D3323)</f>
        <v>89774</v>
      </c>
      <c r="E3324" s="919">
        <f>SUM(E3290:E3323)</f>
        <v>73550</v>
      </c>
      <c r="F3324" s="851"/>
      <c r="G3324" s="851"/>
      <c r="H3324" s="840">
        <f t="shared" si="102"/>
        <v>0</v>
      </c>
      <c r="I3324" s="840">
        <f t="shared" si="103"/>
        <v>326648</v>
      </c>
    </row>
    <row r="3325" spans="1:9" s="302" customFormat="1" ht="37.5">
      <c r="A3325" s="1078" t="s">
        <v>132</v>
      </c>
      <c r="B3325" s="475" t="s">
        <v>1488</v>
      </c>
      <c r="C3325" s="530">
        <v>50000</v>
      </c>
      <c r="D3325" s="530">
        <v>50000</v>
      </c>
      <c r="E3325" s="905"/>
      <c r="F3325" s="851"/>
      <c r="G3325" s="851"/>
      <c r="H3325" s="840">
        <f t="shared" si="102"/>
        <v>0</v>
      </c>
      <c r="I3325" s="840">
        <f t="shared" si="103"/>
        <v>100000</v>
      </c>
    </row>
    <row r="3326" spans="1:9" s="302" customFormat="1" ht="37.5">
      <c r="A3326" s="1079"/>
      <c r="B3326" s="475" t="s">
        <v>1911</v>
      </c>
      <c r="C3326" s="911">
        <v>20000</v>
      </c>
      <c r="D3326" s="911"/>
      <c r="E3326" s="911">
        <v>20000</v>
      </c>
      <c r="F3326" s="851"/>
      <c r="G3326" s="851"/>
      <c r="H3326" s="840">
        <f t="shared" si="102"/>
        <v>0</v>
      </c>
      <c r="I3326" s="840">
        <f t="shared" si="103"/>
        <v>40000</v>
      </c>
    </row>
    <row r="3327" spans="1:9" s="302" customFormat="1" ht="37.5">
      <c r="A3327" s="1079"/>
      <c r="B3327" s="535" t="s">
        <v>2222</v>
      </c>
      <c r="C3327" s="915">
        <v>5000</v>
      </c>
      <c r="D3327" s="915">
        <v>5000</v>
      </c>
      <c r="E3327" s="914"/>
      <c r="F3327" s="851"/>
      <c r="G3327" s="851"/>
      <c r="H3327" s="840">
        <f t="shared" si="102"/>
        <v>0</v>
      </c>
      <c r="I3327" s="840">
        <f t="shared" si="103"/>
        <v>10000</v>
      </c>
    </row>
    <row r="3328" spans="1:9" s="302" customFormat="1" ht="75">
      <c r="A3328" s="1079"/>
      <c r="B3328" s="475" t="s">
        <v>2223</v>
      </c>
      <c r="C3328" s="908">
        <v>6500</v>
      </c>
      <c r="D3328" s="908">
        <v>6500</v>
      </c>
      <c r="E3328" s="905"/>
      <c r="F3328" s="851"/>
      <c r="G3328" s="851"/>
      <c r="H3328" s="840">
        <f t="shared" si="102"/>
        <v>0</v>
      </c>
      <c r="I3328" s="840">
        <f t="shared" si="103"/>
        <v>13000</v>
      </c>
    </row>
    <row r="3329" spans="1:9" s="302" customFormat="1" ht="56.25">
      <c r="A3329" s="1079"/>
      <c r="B3329" s="475" t="s">
        <v>2224</v>
      </c>
      <c r="C3329" s="908">
        <v>12000</v>
      </c>
      <c r="D3329" s="908">
        <v>12000</v>
      </c>
      <c r="E3329" s="905"/>
      <c r="F3329" s="851"/>
      <c r="G3329" s="851"/>
      <c r="H3329" s="840">
        <f t="shared" si="102"/>
        <v>0</v>
      </c>
      <c r="I3329" s="840">
        <f t="shared" si="103"/>
        <v>24000</v>
      </c>
    </row>
    <row r="3330" spans="1:9" s="302" customFormat="1" ht="75">
      <c r="A3330" s="1079"/>
      <c r="B3330" s="535" t="s">
        <v>2944</v>
      </c>
      <c r="C3330" s="908">
        <v>20000</v>
      </c>
      <c r="D3330" s="908">
        <v>20000</v>
      </c>
      <c r="E3330" s="905"/>
      <c r="F3330" s="851"/>
      <c r="G3330" s="851"/>
      <c r="H3330" s="840">
        <f t="shared" si="102"/>
        <v>0</v>
      </c>
      <c r="I3330" s="840">
        <f t="shared" si="103"/>
        <v>40000</v>
      </c>
    </row>
    <row r="3331" spans="1:9" s="302" customFormat="1" ht="56.25">
      <c r="A3331" s="1079"/>
      <c r="B3331" s="535" t="s">
        <v>2945</v>
      </c>
      <c r="C3331" s="906">
        <v>25852</v>
      </c>
      <c r="D3331" s="904">
        <v>25852</v>
      </c>
      <c r="E3331" s="904"/>
      <c r="F3331" s="851"/>
      <c r="G3331" s="851"/>
      <c r="H3331" s="840">
        <f t="shared" si="102"/>
        <v>0</v>
      </c>
      <c r="I3331" s="840">
        <f t="shared" si="103"/>
        <v>51704</v>
      </c>
    </row>
    <row r="3332" spans="1:9" s="302" customFormat="1" hidden="1">
      <c r="A3332" s="1079"/>
      <c r="B3332" s="475"/>
      <c r="C3332" s="905"/>
      <c r="D3332" s="931"/>
      <c r="E3332" s="931"/>
      <c r="F3332" s="851"/>
      <c r="G3332" s="851"/>
      <c r="H3332" s="840">
        <f t="shared" si="102"/>
        <v>0</v>
      </c>
      <c r="I3332" s="840">
        <f t="shared" si="103"/>
        <v>0</v>
      </c>
    </row>
    <row r="3333" spans="1:9" s="302" customFormat="1" hidden="1">
      <c r="A3333" s="1079"/>
      <c r="B3333" s="475"/>
      <c r="C3333" s="916"/>
      <c r="D3333" s="916"/>
      <c r="E3333" s="916"/>
      <c r="F3333" s="851"/>
      <c r="G3333" s="851"/>
      <c r="H3333" s="840">
        <f t="shared" si="102"/>
        <v>0</v>
      </c>
      <c r="I3333" s="840">
        <f t="shared" si="103"/>
        <v>0</v>
      </c>
    </row>
    <row r="3334" spans="1:9" s="302" customFormat="1" hidden="1">
      <c r="A3334" s="1079"/>
      <c r="B3334" s="475"/>
      <c r="C3334" s="916"/>
      <c r="D3334" s="916"/>
      <c r="E3334" s="916"/>
      <c r="F3334" s="851"/>
      <c r="G3334" s="851"/>
      <c r="H3334" s="840">
        <f t="shared" si="102"/>
        <v>0</v>
      </c>
      <c r="I3334" s="840">
        <f t="shared" si="103"/>
        <v>0</v>
      </c>
    </row>
    <row r="3335" spans="1:9" s="302" customFormat="1" hidden="1">
      <c r="A3335" s="1079"/>
      <c r="B3335" s="475"/>
      <c r="C3335" s="916"/>
      <c r="D3335" s="916"/>
      <c r="E3335" s="905"/>
      <c r="F3335" s="851"/>
      <c r="G3335" s="851"/>
      <c r="H3335" s="840">
        <f t="shared" si="102"/>
        <v>0</v>
      </c>
      <c r="I3335" s="840">
        <f t="shared" si="103"/>
        <v>0</v>
      </c>
    </row>
    <row r="3336" spans="1:9" s="302" customFormat="1" hidden="1">
      <c r="A3336" s="1079"/>
      <c r="B3336" s="475"/>
      <c r="C3336" s="916"/>
      <c r="D3336" s="916"/>
      <c r="E3336" s="905"/>
      <c r="F3336" s="851"/>
      <c r="G3336" s="851"/>
      <c r="H3336" s="840">
        <f t="shared" si="102"/>
        <v>0</v>
      </c>
      <c r="I3336" s="840">
        <f t="shared" si="103"/>
        <v>0</v>
      </c>
    </row>
    <row r="3337" spans="1:9" s="302" customFormat="1" hidden="1">
      <c r="A3337" s="1079"/>
      <c r="B3337" s="475"/>
      <c r="C3337" s="916"/>
      <c r="D3337" s="916"/>
      <c r="E3337" s="905"/>
      <c r="F3337" s="851"/>
      <c r="G3337" s="851"/>
      <c r="H3337" s="840">
        <f t="shared" ref="H3337:H3400" si="104">E3337+D3337-C3337</f>
        <v>0</v>
      </c>
      <c r="I3337" s="840">
        <f t="shared" ref="I3337:I3400" si="105">SUM(C3337:E3337)</f>
        <v>0</v>
      </c>
    </row>
    <row r="3338" spans="1:9" s="302" customFormat="1" hidden="1">
      <c r="A3338" s="1079"/>
      <c r="B3338" s="475"/>
      <c r="C3338" s="916"/>
      <c r="D3338" s="916"/>
      <c r="E3338" s="905"/>
      <c r="F3338" s="851"/>
      <c r="G3338" s="851"/>
      <c r="H3338" s="840">
        <f t="shared" si="104"/>
        <v>0</v>
      </c>
      <c r="I3338" s="840">
        <f t="shared" si="105"/>
        <v>0</v>
      </c>
    </row>
    <row r="3339" spans="1:9" s="302" customFormat="1" hidden="1">
      <c r="A3339" s="1079"/>
      <c r="B3339" s="475"/>
      <c r="C3339" s="916"/>
      <c r="D3339" s="916"/>
      <c r="E3339" s="905"/>
      <c r="F3339" s="851"/>
      <c r="G3339" s="851"/>
      <c r="H3339" s="840">
        <f t="shared" si="104"/>
        <v>0</v>
      </c>
      <c r="I3339" s="840">
        <f t="shared" si="105"/>
        <v>0</v>
      </c>
    </row>
    <row r="3340" spans="1:9" s="302" customFormat="1" hidden="1">
      <c r="A3340" s="1079"/>
      <c r="B3340" s="475"/>
      <c r="C3340" s="916"/>
      <c r="D3340" s="916"/>
      <c r="E3340" s="905"/>
      <c r="F3340" s="851"/>
      <c r="G3340" s="851"/>
      <c r="H3340" s="840">
        <f t="shared" si="104"/>
        <v>0</v>
      </c>
      <c r="I3340" s="840">
        <f t="shared" si="105"/>
        <v>0</v>
      </c>
    </row>
    <row r="3341" spans="1:9" s="302" customFormat="1" hidden="1">
      <c r="A3341" s="1079"/>
      <c r="B3341" s="475"/>
      <c r="C3341" s="916"/>
      <c r="D3341" s="916"/>
      <c r="E3341" s="905"/>
      <c r="F3341" s="851"/>
      <c r="G3341" s="851"/>
      <c r="H3341" s="840">
        <f t="shared" si="104"/>
        <v>0</v>
      </c>
      <c r="I3341" s="840">
        <f t="shared" si="105"/>
        <v>0</v>
      </c>
    </row>
    <row r="3342" spans="1:9" s="302" customFormat="1" hidden="1">
      <c r="A3342" s="1079"/>
      <c r="B3342" s="475"/>
      <c r="C3342" s="916"/>
      <c r="D3342" s="916"/>
      <c r="E3342" s="905"/>
      <c r="F3342" s="851"/>
      <c r="G3342" s="851"/>
      <c r="H3342" s="840">
        <f t="shared" si="104"/>
        <v>0</v>
      </c>
      <c r="I3342" s="840">
        <f t="shared" si="105"/>
        <v>0</v>
      </c>
    </row>
    <row r="3343" spans="1:9" s="302" customFormat="1" hidden="1">
      <c r="A3343" s="1079"/>
      <c r="B3343" s="475"/>
      <c r="C3343" s="916"/>
      <c r="D3343" s="916"/>
      <c r="E3343" s="905"/>
      <c r="F3343" s="851"/>
      <c r="G3343" s="851"/>
      <c r="H3343" s="840">
        <f t="shared" si="104"/>
        <v>0</v>
      </c>
      <c r="I3343" s="840">
        <f t="shared" si="105"/>
        <v>0</v>
      </c>
    </row>
    <row r="3344" spans="1:9" s="302" customFormat="1" hidden="1">
      <c r="A3344" s="1079"/>
      <c r="B3344" s="475"/>
      <c r="C3344" s="916"/>
      <c r="D3344" s="916"/>
      <c r="E3344" s="905"/>
      <c r="F3344" s="851"/>
      <c r="G3344" s="851"/>
      <c r="H3344" s="840">
        <f t="shared" si="104"/>
        <v>0</v>
      </c>
      <c r="I3344" s="840">
        <f t="shared" si="105"/>
        <v>0</v>
      </c>
    </row>
    <row r="3345" spans="1:9" s="302" customFormat="1" hidden="1">
      <c r="A3345" s="1079"/>
      <c r="B3345" s="475"/>
      <c r="C3345" s="916"/>
      <c r="D3345" s="916"/>
      <c r="E3345" s="905"/>
      <c r="F3345" s="851"/>
      <c r="G3345" s="851"/>
      <c r="H3345" s="840">
        <f t="shared" si="104"/>
        <v>0</v>
      </c>
      <c r="I3345" s="840">
        <f t="shared" si="105"/>
        <v>0</v>
      </c>
    </row>
    <row r="3346" spans="1:9" s="302" customFormat="1" hidden="1">
      <c r="A3346" s="1079"/>
      <c r="B3346" s="475"/>
      <c r="C3346" s="916"/>
      <c r="D3346" s="916"/>
      <c r="E3346" s="905"/>
      <c r="F3346" s="851"/>
      <c r="G3346" s="851"/>
      <c r="H3346" s="840">
        <f t="shared" si="104"/>
        <v>0</v>
      </c>
      <c r="I3346" s="840">
        <f t="shared" si="105"/>
        <v>0</v>
      </c>
    </row>
    <row r="3347" spans="1:9" s="302" customFormat="1" hidden="1">
      <c r="A3347" s="1079"/>
      <c r="B3347" s="475"/>
      <c r="C3347" s="916"/>
      <c r="D3347" s="916"/>
      <c r="E3347" s="905"/>
      <c r="F3347" s="851"/>
      <c r="G3347" s="851"/>
      <c r="H3347" s="840">
        <f t="shared" si="104"/>
        <v>0</v>
      </c>
      <c r="I3347" s="840">
        <f t="shared" si="105"/>
        <v>0</v>
      </c>
    </row>
    <row r="3348" spans="1:9" s="302" customFormat="1" hidden="1">
      <c r="A3348" s="1079"/>
      <c r="B3348" s="475"/>
      <c r="C3348" s="916"/>
      <c r="D3348" s="916"/>
      <c r="E3348" s="905"/>
      <c r="F3348" s="851"/>
      <c r="G3348" s="851"/>
      <c r="H3348" s="840">
        <f t="shared" si="104"/>
        <v>0</v>
      </c>
      <c r="I3348" s="840">
        <f t="shared" si="105"/>
        <v>0</v>
      </c>
    </row>
    <row r="3349" spans="1:9" s="302" customFormat="1" hidden="1">
      <c r="A3349" s="1079"/>
      <c r="B3349" s="475"/>
      <c r="C3349" s="916"/>
      <c r="D3349" s="916"/>
      <c r="E3349" s="905"/>
      <c r="F3349" s="851"/>
      <c r="G3349" s="851"/>
      <c r="H3349" s="840">
        <f t="shared" si="104"/>
        <v>0</v>
      </c>
      <c r="I3349" s="840">
        <f t="shared" si="105"/>
        <v>0</v>
      </c>
    </row>
    <row r="3350" spans="1:9" s="302" customFormat="1" hidden="1">
      <c r="A3350" s="1079"/>
      <c r="B3350" s="475"/>
      <c r="C3350" s="916"/>
      <c r="D3350" s="916"/>
      <c r="E3350" s="905"/>
      <c r="F3350" s="851"/>
      <c r="G3350" s="851"/>
      <c r="H3350" s="840">
        <f t="shared" si="104"/>
        <v>0</v>
      </c>
      <c r="I3350" s="840">
        <f t="shared" si="105"/>
        <v>0</v>
      </c>
    </row>
    <row r="3351" spans="1:9" s="302" customFormat="1" hidden="1">
      <c r="A3351" s="1079"/>
      <c r="B3351" s="475"/>
      <c r="C3351" s="916"/>
      <c r="D3351" s="916"/>
      <c r="E3351" s="905"/>
      <c r="F3351" s="851"/>
      <c r="G3351" s="851"/>
      <c r="H3351" s="840">
        <f t="shared" si="104"/>
        <v>0</v>
      </c>
      <c r="I3351" s="840">
        <f t="shared" si="105"/>
        <v>0</v>
      </c>
    </row>
    <row r="3352" spans="1:9" s="302" customFormat="1" hidden="1">
      <c r="A3352" s="1079"/>
      <c r="B3352" s="475"/>
      <c r="C3352" s="916"/>
      <c r="D3352" s="916"/>
      <c r="E3352" s="905"/>
      <c r="F3352" s="851"/>
      <c r="G3352" s="851"/>
      <c r="H3352" s="840">
        <f t="shared" si="104"/>
        <v>0</v>
      </c>
      <c r="I3352" s="840">
        <f t="shared" si="105"/>
        <v>0</v>
      </c>
    </row>
    <row r="3353" spans="1:9" s="302" customFormat="1" hidden="1">
      <c r="A3353" s="1079"/>
      <c r="B3353" s="475"/>
      <c r="C3353" s="916"/>
      <c r="D3353" s="916"/>
      <c r="E3353" s="905"/>
      <c r="F3353" s="851"/>
      <c r="G3353" s="851"/>
      <c r="H3353" s="840">
        <f t="shared" si="104"/>
        <v>0</v>
      </c>
      <c r="I3353" s="840">
        <f t="shared" si="105"/>
        <v>0</v>
      </c>
    </row>
    <row r="3354" spans="1:9" s="302" customFormat="1" hidden="1">
      <c r="A3354" s="1079"/>
      <c r="B3354" s="475"/>
      <c r="C3354" s="916"/>
      <c r="D3354" s="916"/>
      <c r="E3354" s="905"/>
      <c r="F3354" s="851"/>
      <c r="G3354" s="851"/>
      <c r="H3354" s="840">
        <f t="shared" si="104"/>
        <v>0</v>
      </c>
      <c r="I3354" s="840">
        <f t="shared" si="105"/>
        <v>0</v>
      </c>
    </row>
    <row r="3355" spans="1:9" s="302" customFormat="1" hidden="1">
      <c r="A3355" s="1079"/>
      <c r="B3355" s="475"/>
      <c r="C3355" s="916"/>
      <c r="D3355" s="916"/>
      <c r="E3355" s="905"/>
      <c r="F3355" s="851"/>
      <c r="G3355" s="851"/>
      <c r="H3355" s="840">
        <f t="shared" si="104"/>
        <v>0</v>
      </c>
      <c r="I3355" s="840">
        <f t="shared" si="105"/>
        <v>0</v>
      </c>
    </row>
    <row r="3356" spans="1:9" s="302" customFormat="1" hidden="1">
      <c r="A3356" s="1079"/>
      <c r="B3356" s="475"/>
      <c r="C3356" s="916"/>
      <c r="D3356" s="916"/>
      <c r="E3356" s="905"/>
      <c r="F3356" s="851"/>
      <c r="G3356" s="851"/>
      <c r="H3356" s="840">
        <f t="shared" si="104"/>
        <v>0</v>
      </c>
      <c r="I3356" s="840">
        <f t="shared" si="105"/>
        <v>0</v>
      </c>
    </row>
    <row r="3357" spans="1:9" s="302" customFormat="1" hidden="1">
      <c r="A3357" s="1079"/>
      <c r="B3357" s="475"/>
      <c r="C3357" s="916"/>
      <c r="D3357" s="916"/>
      <c r="E3357" s="905"/>
      <c r="F3357" s="851"/>
      <c r="G3357" s="851"/>
      <c r="H3357" s="840">
        <f t="shared" si="104"/>
        <v>0</v>
      </c>
      <c r="I3357" s="840">
        <f t="shared" si="105"/>
        <v>0</v>
      </c>
    </row>
    <row r="3358" spans="1:9" s="302" customFormat="1" hidden="1">
      <c r="A3358" s="1079"/>
      <c r="B3358" s="475"/>
      <c r="C3358" s="916"/>
      <c r="D3358" s="916"/>
      <c r="E3358" s="905"/>
      <c r="F3358" s="851"/>
      <c r="G3358" s="851"/>
      <c r="H3358" s="840">
        <f t="shared" si="104"/>
        <v>0</v>
      </c>
      <c r="I3358" s="840">
        <f t="shared" si="105"/>
        <v>0</v>
      </c>
    </row>
    <row r="3359" spans="1:9" s="302" customFormat="1">
      <c r="A3359" s="1148"/>
      <c r="B3359" s="461" t="s">
        <v>253</v>
      </c>
      <c r="C3359" s="919">
        <f>SUM(C3325:C3358)</f>
        <v>139352</v>
      </c>
      <c r="D3359" s="919">
        <f>SUM(D3325:D3358)</f>
        <v>119352</v>
      </c>
      <c r="E3359" s="919">
        <f>SUM(E3325:E3358)</f>
        <v>20000</v>
      </c>
      <c r="F3359" s="851"/>
      <c r="G3359" s="851"/>
      <c r="H3359" s="840">
        <f t="shared" si="104"/>
        <v>0</v>
      </c>
      <c r="I3359" s="840">
        <f t="shared" si="105"/>
        <v>278704</v>
      </c>
    </row>
    <row r="3360" spans="1:9" s="302" customFormat="1" ht="37.5">
      <c r="A3360" s="1078" t="s">
        <v>133</v>
      </c>
      <c r="B3360" s="475" t="s">
        <v>1489</v>
      </c>
      <c r="C3360" s="530">
        <v>10000</v>
      </c>
      <c r="D3360" s="530">
        <v>10000</v>
      </c>
      <c r="E3360" s="905"/>
      <c r="F3360" s="854"/>
      <c r="G3360" s="854"/>
      <c r="H3360" s="840">
        <f t="shared" si="104"/>
        <v>0</v>
      </c>
      <c r="I3360" s="840">
        <f t="shared" si="105"/>
        <v>20000</v>
      </c>
    </row>
    <row r="3361" spans="1:9" s="302" customFormat="1" ht="56.25">
      <c r="A3361" s="1079"/>
      <c r="B3361" s="475" t="s">
        <v>1490</v>
      </c>
      <c r="C3361" s="530">
        <v>15000</v>
      </c>
      <c r="D3361" s="530">
        <v>15000</v>
      </c>
      <c r="E3361" s="905"/>
      <c r="F3361" s="851"/>
      <c r="G3361" s="851"/>
      <c r="H3361" s="840">
        <f t="shared" si="104"/>
        <v>0</v>
      </c>
      <c r="I3361" s="840">
        <f t="shared" si="105"/>
        <v>30000</v>
      </c>
    </row>
    <row r="3362" spans="1:9" s="302" customFormat="1" ht="56.25">
      <c r="A3362" s="1079"/>
      <c r="B3362" s="475" t="s">
        <v>1491</v>
      </c>
      <c r="C3362" s="530">
        <v>15000</v>
      </c>
      <c r="D3362" s="530">
        <v>15000</v>
      </c>
      <c r="E3362" s="905"/>
      <c r="F3362" s="851"/>
      <c r="G3362" s="851"/>
      <c r="H3362" s="840">
        <f t="shared" si="104"/>
        <v>0</v>
      </c>
      <c r="I3362" s="840">
        <f t="shared" si="105"/>
        <v>30000</v>
      </c>
    </row>
    <row r="3363" spans="1:9" s="302" customFormat="1" ht="56.25">
      <c r="A3363" s="1079"/>
      <c r="B3363" s="475" t="s">
        <v>1492</v>
      </c>
      <c r="C3363" s="530">
        <v>15000</v>
      </c>
      <c r="D3363" s="530">
        <v>15000</v>
      </c>
      <c r="E3363" s="905"/>
      <c r="F3363" s="851"/>
      <c r="G3363" s="851"/>
      <c r="H3363" s="840">
        <f t="shared" si="104"/>
        <v>0</v>
      </c>
      <c r="I3363" s="840">
        <f t="shared" si="105"/>
        <v>30000</v>
      </c>
    </row>
    <row r="3364" spans="1:9" s="302" customFormat="1" ht="75">
      <c r="A3364" s="1079"/>
      <c r="B3364" s="475" t="s">
        <v>1493</v>
      </c>
      <c r="C3364" s="530">
        <v>5129</v>
      </c>
      <c r="D3364" s="530">
        <v>5129</v>
      </c>
      <c r="E3364" s="905"/>
      <c r="F3364" s="851"/>
      <c r="G3364" s="851"/>
      <c r="H3364" s="840">
        <f t="shared" si="104"/>
        <v>0</v>
      </c>
      <c r="I3364" s="840">
        <f t="shared" si="105"/>
        <v>10258</v>
      </c>
    </row>
    <row r="3365" spans="1:9" s="302" customFormat="1" ht="56.25">
      <c r="A3365" s="1079"/>
      <c r="B3365" s="475" t="s">
        <v>1494</v>
      </c>
      <c r="C3365" s="530">
        <v>9871</v>
      </c>
      <c r="D3365" s="530">
        <v>9871</v>
      </c>
      <c r="E3365" s="905"/>
      <c r="F3365" s="851"/>
      <c r="G3365" s="851"/>
      <c r="H3365" s="840">
        <f t="shared" si="104"/>
        <v>0</v>
      </c>
      <c r="I3365" s="840">
        <f t="shared" si="105"/>
        <v>19742</v>
      </c>
    </row>
    <row r="3366" spans="1:9" s="302" customFormat="1" ht="75">
      <c r="A3366" s="1079"/>
      <c r="B3366" s="475" t="s">
        <v>1495</v>
      </c>
      <c r="C3366" s="530">
        <v>10100</v>
      </c>
      <c r="D3366" s="530">
        <v>10100</v>
      </c>
      <c r="E3366" s="905"/>
      <c r="F3366" s="851"/>
      <c r="G3366" s="851"/>
      <c r="H3366" s="840">
        <f t="shared" si="104"/>
        <v>0</v>
      </c>
      <c r="I3366" s="840">
        <f t="shared" si="105"/>
        <v>20200</v>
      </c>
    </row>
    <row r="3367" spans="1:9" s="302" customFormat="1" ht="56.25">
      <c r="A3367" s="1079"/>
      <c r="B3367" s="475" t="s">
        <v>1496</v>
      </c>
      <c r="C3367" s="530">
        <v>3700</v>
      </c>
      <c r="D3367" s="530">
        <v>3700</v>
      </c>
      <c r="E3367" s="905"/>
      <c r="F3367" s="851"/>
      <c r="G3367" s="851"/>
      <c r="H3367" s="840">
        <f t="shared" si="104"/>
        <v>0</v>
      </c>
      <c r="I3367" s="840">
        <f t="shared" si="105"/>
        <v>7400</v>
      </c>
    </row>
    <row r="3368" spans="1:9" s="302" customFormat="1" ht="56.25">
      <c r="A3368" s="1079"/>
      <c r="B3368" s="475" t="s">
        <v>1497</v>
      </c>
      <c r="C3368" s="530">
        <v>5500</v>
      </c>
      <c r="D3368" s="530">
        <v>5500</v>
      </c>
      <c r="E3368" s="905"/>
      <c r="F3368" s="851"/>
      <c r="G3368" s="851"/>
      <c r="H3368" s="840">
        <f t="shared" si="104"/>
        <v>0</v>
      </c>
      <c r="I3368" s="840">
        <f t="shared" si="105"/>
        <v>11000</v>
      </c>
    </row>
    <row r="3369" spans="1:9" s="302" customFormat="1" ht="56.25">
      <c r="A3369" s="1079"/>
      <c r="B3369" s="475" t="s">
        <v>2225</v>
      </c>
      <c r="C3369" s="905">
        <v>10000</v>
      </c>
      <c r="D3369" s="908">
        <v>10000</v>
      </c>
      <c r="E3369" s="905"/>
      <c r="F3369" s="851"/>
      <c r="G3369" s="851"/>
      <c r="H3369" s="840">
        <f t="shared" si="104"/>
        <v>0</v>
      </c>
      <c r="I3369" s="840">
        <f t="shared" si="105"/>
        <v>20000</v>
      </c>
    </row>
    <row r="3370" spans="1:9" s="302" customFormat="1" ht="75">
      <c r="A3370" s="1079"/>
      <c r="B3370" s="535" t="s">
        <v>2494</v>
      </c>
      <c r="C3370" s="914">
        <v>20000</v>
      </c>
      <c r="D3370" s="914"/>
      <c r="E3370" s="914">
        <v>20000</v>
      </c>
      <c r="F3370" s="851"/>
      <c r="G3370" s="851"/>
      <c r="H3370" s="840">
        <f t="shared" si="104"/>
        <v>0</v>
      </c>
      <c r="I3370" s="840">
        <f t="shared" si="105"/>
        <v>40000</v>
      </c>
    </row>
    <row r="3371" spans="1:9" s="302" customFormat="1" ht="56.25">
      <c r="A3371" s="1079"/>
      <c r="B3371" s="535" t="s">
        <v>2495</v>
      </c>
      <c r="C3371" s="914">
        <v>10000</v>
      </c>
      <c r="D3371" s="914">
        <v>10000</v>
      </c>
      <c r="E3371" s="914"/>
      <c r="F3371" s="851"/>
      <c r="G3371" s="851"/>
      <c r="H3371" s="840">
        <f t="shared" si="104"/>
        <v>0</v>
      </c>
      <c r="I3371" s="840">
        <f t="shared" si="105"/>
        <v>20000</v>
      </c>
    </row>
    <row r="3372" spans="1:9" s="302" customFormat="1" ht="93.75">
      <c r="A3372" s="1079"/>
      <c r="B3372" s="535" t="s">
        <v>2496</v>
      </c>
      <c r="C3372" s="908">
        <v>20000</v>
      </c>
      <c r="D3372" s="908">
        <v>20000</v>
      </c>
      <c r="E3372" s="905"/>
      <c r="F3372" s="851"/>
      <c r="G3372" s="851"/>
      <c r="H3372" s="840">
        <f t="shared" si="104"/>
        <v>0</v>
      </c>
      <c r="I3372" s="840">
        <f t="shared" si="105"/>
        <v>40000</v>
      </c>
    </row>
    <row r="3373" spans="1:9" s="302" customFormat="1" ht="75">
      <c r="A3373" s="1079"/>
      <c r="B3373" s="475" t="s">
        <v>2497</v>
      </c>
      <c r="C3373" s="908">
        <v>5500</v>
      </c>
      <c r="D3373" s="908">
        <v>5500</v>
      </c>
      <c r="E3373" s="905"/>
      <c r="F3373" s="851"/>
      <c r="G3373" s="851"/>
      <c r="H3373" s="840">
        <f t="shared" si="104"/>
        <v>0</v>
      </c>
      <c r="I3373" s="840">
        <f t="shared" si="105"/>
        <v>11000</v>
      </c>
    </row>
    <row r="3374" spans="1:9" s="302" customFormat="1" ht="37.5">
      <c r="A3374" s="1079"/>
      <c r="B3374" s="475" t="s">
        <v>2946</v>
      </c>
      <c r="C3374" s="908">
        <v>10000</v>
      </c>
      <c r="D3374" s="908">
        <v>10000</v>
      </c>
      <c r="E3374" s="905"/>
      <c r="F3374" s="851"/>
      <c r="G3374" s="851"/>
      <c r="H3374" s="840">
        <f t="shared" si="104"/>
        <v>0</v>
      </c>
      <c r="I3374" s="840">
        <f t="shared" si="105"/>
        <v>20000</v>
      </c>
    </row>
    <row r="3375" spans="1:9" s="302" customFormat="1" ht="112.5">
      <c r="A3375" s="1079"/>
      <c r="B3375" s="475" t="s">
        <v>2947</v>
      </c>
      <c r="C3375" s="908">
        <v>16500</v>
      </c>
      <c r="D3375" s="908">
        <v>6150</v>
      </c>
      <c r="E3375" s="905">
        <v>10350</v>
      </c>
      <c r="F3375" s="851"/>
      <c r="G3375" s="851"/>
      <c r="H3375" s="840">
        <f t="shared" si="104"/>
        <v>0</v>
      </c>
      <c r="I3375" s="840">
        <f t="shared" si="105"/>
        <v>33000</v>
      </c>
    </row>
    <row r="3376" spans="1:9" s="302" customFormat="1" ht="75">
      <c r="A3376" s="1079"/>
      <c r="B3376" s="475" t="s">
        <v>2948</v>
      </c>
      <c r="C3376" s="908">
        <v>12000</v>
      </c>
      <c r="D3376" s="908"/>
      <c r="E3376" s="905">
        <v>12000</v>
      </c>
      <c r="F3376" s="851"/>
      <c r="G3376" s="851"/>
      <c r="H3376" s="840">
        <f t="shared" si="104"/>
        <v>0</v>
      </c>
      <c r="I3376" s="840">
        <f t="shared" si="105"/>
        <v>24000</v>
      </c>
    </row>
    <row r="3377" spans="1:9" s="302" customFormat="1" ht="56.25">
      <c r="A3377" s="1079"/>
      <c r="B3377" s="475" t="s">
        <v>2949</v>
      </c>
      <c r="C3377" s="908">
        <v>5000</v>
      </c>
      <c r="D3377" s="908">
        <v>5000</v>
      </c>
      <c r="E3377" s="905"/>
      <c r="F3377" s="851"/>
      <c r="G3377" s="851"/>
      <c r="H3377" s="840">
        <f t="shared" si="104"/>
        <v>0</v>
      </c>
      <c r="I3377" s="840">
        <f t="shared" si="105"/>
        <v>10000</v>
      </c>
    </row>
    <row r="3378" spans="1:9" s="302" customFormat="1" ht="56.25">
      <c r="A3378" s="1079"/>
      <c r="B3378" s="475" t="s">
        <v>2950</v>
      </c>
      <c r="C3378" s="908">
        <v>5000</v>
      </c>
      <c r="D3378" s="908">
        <v>5000</v>
      </c>
      <c r="E3378" s="905"/>
      <c r="F3378" s="851"/>
      <c r="G3378" s="851"/>
      <c r="H3378" s="840">
        <f t="shared" si="104"/>
        <v>0</v>
      </c>
      <c r="I3378" s="840">
        <f t="shared" si="105"/>
        <v>10000</v>
      </c>
    </row>
    <row r="3379" spans="1:9" s="302" customFormat="1" ht="37.5">
      <c r="A3379" s="1079"/>
      <c r="B3379" s="475" t="s">
        <v>2951</v>
      </c>
      <c r="C3379" s="908">
        <v>9888</v>
      </c>
      <c r="D3379" s="908"/>
      <c r="E3379" s="905">
        <v>9888</v>
      </c>
      <c r="F3379" s="851"/>
      <c r="G3379" s="851"/>
      <c r="H3379" s="840">
        <f t="shared" si="104"/>
        <v>0</v>
      </c>
      <c r="I3379" s="840">
        <f t="shared" si="105"/>
        <v>19776</v>
      </c>
    </row>
    <row r="3380" spans="1:9" s="302" customFormat="1" ht="56.25">
      <c r="A3380" s="1079"/>
      <c r="B3380" s="475" t="s">
        <v>2952</v>
      </c>
      <c r="C3380" s="908">
        <v>6000</v>
      </c>
      <c r="D3380" s="908">
        <v>6000</v>
      </c>
      <c r="E3380" s="905"/>
      <c r="F3380" s="851"/>
      <c r="G3380" s="851"/>
      <c r="H3380" s="840">
        <f t="shared" si="104"/>
        <v>0</v>
      </c>
      <c r="I3380" s="840">
        <f t="shared" si="105"/>
        <v>12000</v>
      </c>
    </row>
    <row r="3381" spans="1:9" s="302" customFormat="1" ht="75">
      <c r="A3381" s="1079"/>
      <c r="B3381" s="846" t="s">
        <v>2953</v>
      </c>
      <c r="C3381" s="905">
        <v>10850</v>
      </c>
      <c r="D3381" s="904">
        <v>10850</v>
      </c>
      <c r="E3381" s="904"/>
      <c r="F3381" s="851"/>
      <c r="G3381" s="851"/>
      <c r="H3381" s="840">
        <f t="shared" si="104"/>
        <v>0</v>
      </c>
      <c r="I3381" s="840">
        <f t="shared" si="105"/>
        <v>21700</v>
      </c>
    </row>
    <row r="3382" spans="1:9" s="302" customFormat="1" ht="56.25">
      <c r="A3382" s="1079"/>
      <c r="B3382" s="846" t="s">
        <v>2954</v>
      </c>
      <c r="C3382" s="905">
        <v>1000</v>
      </c>
      <c r="D3382" s="904">
        <v>1000</v>
      </c>
      <c r="E3382" s="904"/>
      <c r="F3382" s="851"/>
      <c r="G3382" s="851"/>
      <c r="H3382" s="840">
        <f t="shared" si="104"/>
        <v>0</v>
      </c>
      <c r="I3382" s="840">
        <f t="shared" si="105"/>
        <v>2000</v>
      </c>
    </row>
    <row r="3383" spans="1:9" s="302" customFormat="1" ht="75">
      <c r="A3383" s="1079"/>
      <c r="B3383" s="475" t="s">
        <v>3166</v>
      </c>
      <c r="C3383" s="915">
        <v>8866</v>
      </c>
      <c r="D3383" s="915">
        <v>8866</v>
      </c>
      <c r="E3383" s="914"/>
      <c r="F3383" s="851"/>
      <c r="G3383" s="851"/>
      <c r="H3383" s="840">
        <f t="shared" si="104"/>
        <v>0</v>
      </c>
      <c r="I3383" s="840">
        <f t="shared" si="105"/>
        <v>17732</v>
      </c>
    </row>
    <row r="3384" spans="1:9" s="302" customFormat="1" hidden="1">
      <c r="A3384" s="1079"/>
      <c r="B3384" s="475"/>
      <c r="C3384" s="916"/>
      <c r="D3384" s="916"/>
      <c r="E3384" s="905"/>
      <c r="F3384" s="851"/>
      <c r="G3384" s="851"/>
      <c r="H3384" s="840">
        <f t="shared" si="104"/>
        <v>0</v>
      </c>
      <c r="I3384" s="840">
        <f t="shared" si="105"/>
        <v>0</v>
      </c>
    </row>
    <row r="3385" spans="1:9" s="302" customFormat="1" hidden="1">
      <c r="A3385" s="1079"/>
      <c r="B3385" s="475"/>
      <c r="C3385" s="916"/>
      <c r="D3385" s="916"/>
      <c r="E3385" s="905"/>
      <c r="F3385" s="851"/>
      <c r="G3385" s="851"/>
      <c r="H3385" s="840">
        <f t="shared" si="104"/>
        <v>0</v>
      </c>
      <c r="I3385" s="840">
        <f t="shared" si="105"/>
        <v>0</v>
      </c>
    </row>
    <row r="3386" spans="1:9" s="302" customFormat="1" hidden="1">
      <c r="A3386" s="1079"/>
      <c r="B3386" s="475"/>
      <c r="C3386" s="916"/>
      <c r="D3386" s="916"/>
      <c r="E3386" s="905"/>
      <c r="F3386" s="851"/>
      <c r="G3386" s="851"/>
      <c r="H3386" s="840">
        <f t="shared" si="104"/>
        <v>0</v>
      </c>
      <c r="I3386" s="840">
        <f t="shared" si="105"/>
        <v>0</v>
      </c>
    </row>
    <row r="3387" spans="1:9" s="302" customFormat="1" hidden="1">
      <c r="A3387" s="1079"/>
      <c r="B3387" s="475"/>
      <c r="C3387" s="916"/>
      <c r="D3387" s="916"/>
      <c r="E3387" s="905"/>
      <c r="F3387" s="851"/>
      <c r="G3387" s="851"/>
      <c r="H3387" s="840">
        <f t="shared" si="104"/>
        <v>0</v>
      </c>
      <c r="I3387" s="840">
        <f t="shared" si="105"/>
        <v>0</v>
      </c>
    </row>
    <row r="3388" spans="1:9" s="302" customFormat="1" hidden="1">
      <c r="A3388" s="1079"/>
      <c r="B3388" s="475"/>
      <c r="C3388" s="916"/>
      <c r="D3388" s="916"/>
      <c r="E3388" s="905"/>
      <c r="F3388" s="851"/>
      <c r="G3388" s="851"/>
      <c r="H3388" s="840">
        <f t="shared" si="104"/>
        <v>0</v>
      </c>
      <c r="I3388" s="840">
        <f t="shared" si="105"/>
        <v>0</v>
      </c>
    </row>
    <row r="3389" spans="1:9" s="302" customFormat="1" hidden="1">
      <c r="A3389" s="1079"/>
      <c r="B3389" s="475"/>
      <c r="C3389" s="916"/>
      <c r="D3389" s="916"/>
      <c r="E3389" s="905"/>
      <c r="F3389" s="851"/>
      <c r="G3389" s="851"/>
      <c r="H3389" s="840">
        <f t="shared" si="104"/>
        <v>0</v>
      </c>
      <c r="I3389" s="840">
        <f t="shared" si="105"/>
        <v>0</v>
      </c>
    </row>
    <row r="3390" spans="1:9" s="302" customFormat="1" hidden="1">
      <c r="A3390" s="1079"/>
      <c r="B3390" s="475"/>
      <c r="C3390" s="916"/>
      <c r="D3390" s="916"/>
      <c r="E3390" s="905"/>
      <c r="F3390" s="851"/>
      <c r="G3390" s="851"/>
      <c r="H3390" s="840">
        <f t="shared" si="104"/>
        <v>0</v>
      </c>
      <c r="I3390" s="840">
        <f t="shared" si="105"/>
        <v>0</v>
      </c>
    </row>
    <row r="3391" spans="1:9" s="302" customFormat="1" hidden="1">
      <c r="A3391" s="1079"/>
      <c r="B3391" s="475"/>
      <c r="C3391" s="916"/>
      <c r="D3391" s="916"/>
      <c r="E3391" s="905"/>
      <c r="F3391" s="851"/>
      <c r="G3391" s="851"/>
      <c r="H3391" s="840">
        <f t="shared" si="104"/>
        <v>0</v>
      </c>
      <c r="I3391" s="840">
        <f t="shared" si="105"/>
        <v>0</v>
      </c>
    </row>
    <row r="3392" spans="1:9" s="302" customFormat="1" hidden="1">
      <c r="A3392" s="1079"/>
      <c r="B3392" s="475"/>
      <c r="C3392" s="916"/>
      <c r="D3392" s="916"/>
      <c r="E3392" s="905"/>
      <c r="F3392" s="851"/>
      <c r="G3392" s="851"/>
      <c r="H3392" s="840">
        <f t="shared" si="104"/>
        <v>0</v>
      </c>
      <c r="I3392" s="840">
        <f t="shared" si="105"/>
        <v>0</v>
      </c>
    </row>
    <row r="3393" spans="1:9" s="302" customFormat="1" hidden="1">
      <c r="A3393" s="1079"/>
      <c r="B3393" s="475"/>
      <c r="C3393" s="916"/>
      <c r="D3393" s="916"/>
      <c r="E3393" s="905"/>
      <c r="F3393" s="851"/>
      <c r="G3393" s="851"/>
      <c r="H3393" s="840">
        <f t="shared" si="104"/>
        <v>0</v>
      </c>
      <c r="I3393" s="840">
        <f t="shared" si="105"/>
        <v>0</v>
      </c>
    </row>
    <row r="3394" spans="1:9" s="302" customFormat="1">
      <c r="A3394" s="1148"/>
      <c r="B3394" s="461" t="s">
        <v>253</v>
      </c>
      <c r="C3394" s="919">
        <f>SUM(C3360:C3393)</f>
        <v>239904</v>
      </c>
      <c r="D3394" s="919">
        <f>SUM(D3360:D3393)</f>
        <v>187666</v>
      </c>
      <c r="E3394" s="919">
        <f>SUM(E3360:E3393)</f>
        <v>52238</v>
      </c>
      <c r="F3394" s="851"/>
      <c r="G3394" s="851"/>
      <c r="H3394" s="840">
        <f t="shared" si="104"/>
        <v>0</v>
      </c>
      <c r="I3394" s="840">
        <f t="shared" si="105"/>
        <v>479808</v>
      </c>
    </row>
    <row r="3395" spans="1:9" s="302" customFormat="1" ht="56.25">
      <c r="A3395" s="1078" t="s">
        <v>134</v>
      </c>
      <c r="B3395" s="475" t="s">
        <v>950</v>
      </c>
      <c r="C3395" s="907">
        <v>180000</v>
      </c>
      <c r="D3395" s="530"/>
      <c r="E3395" s="907">
        <v>180000</v>
      </c>
      <c r="F3395" s="851"/>
      <c r="G3395" s="851"/>
      <c r="H3395" s="840">
        <f t="shared" si="104"/>
        <v>0</v>
      </c>
      <c r="I3395" s="840">
        <f t="shared" si="105"/>
        <v>360000</v>
      </c>
    </row>
    <row r="3396" spans="1:9" s="302" customFormat="1" ht="56.25">
      <c r="A3396" s="1079"/>
      <c r="B3396" s="475" t="s">
        <v>1756</v>
      </c>
      <c r="C3396" s="905">
        <v>25000</v>
      </c>
      <c r="D3396" s="905">
        <v>25000</v>
      </c>
      <c r="E3396" s="905"/>
      <c r="F3396" s="851"/>
      <c r="G3396" s="851"/>
      <c r="H3396" s="840">
        <f t="shared" si="104"/>
        <v>0</v>
      </c>
      <c r="I3396" s="840">
        <f t="shared" si="105"/>
        <v>50000</v>
      </c>
    </row>
    <row r="3397" spans="1:9" s="302" customFormat="1" ht="37.5">
      <c r="A3397" s="1079"/>
      <c r="B3397" s="475" t="s">
        <v>1579</v>
      </c>
      <c r="C3397" s="530">
        <v>35000</v>
      </c>
      <c r="D3397" s="530"/>
      <c r="E3397" s="905">
        <v>35000</v>
      </c>
      <c r="F3397" s="851"/>
      <c r="G3397" s="851"/>
      <c r="H3397" s="840">
        <f t="shared" si="104"/>
        <v>0</v>
      </c>
      <c r="I3397" s="840">
        <f t="shared" si="105"/>
        <v>70000</v>
      </c>
    </row>
    <row r="3398" spans="1:9" s="302" customFormat="1" ht="56.25">
      <c r="A3398" s="1079"/>
      <c r="B3398" s="475" t="s">
        <v>1498</v>
      </c>
      <c r="C3398" s="530">
        <v>30000</v>
      </c>
      <c r="D3398" s="530">
        <v>15000</v>
      </c>
      <c r="E3398" s="905">
        <v>15000</v>
      </c>
      <c r="F3398" s="851"/>
      <c r="G3398" s="851"/>
      <c r="H3398" s="840">
        <f t="shared" si="104"/>
        <v>0</v>
      </c>
      <c r="I3398" s="840">
        <f t="shared" si="105"/>
        <v>60000</v>
      </c>
    </row>
    <row r="3399" spans="1:9" s="302" customFormat="1" ht="56.25">
      <c r="A3399" s="1079"/>
      <c r="B3399" s="475" t="s">
        <v>1499</v>
      </c>
      <c r="C3399" s="530">
        <v>80000</v>
      </c>
      <c r="D3399" s="530">
        <v>25000</v>
      </c>
      <c r="E3399" s="905">
        <v>55000</v>
      </c>
      <c r="F3399" s="851"/>
      <c r="G3399" s="851"/>
      <c r="H3399" s="840">
        <f t="shared" si="104"/>
        <v>0</v>
      </c>
      <c r="I3399" s="840">
        <f t="shared" si="105"/>
        <v>160000</v>
      </c>
    </row>
    <row r="3400" spans="1:9" s="302" customFormat="1" ht="56.25">
      <c r="A3400" s="1079"/>
      <c r="B3400" s="475" t="s">
        <v>2226</v>
      </c>
      <c r="C3400" s="905">
        <v>20000</v>
      </c>
      <c r="D3400" s="905">
        <v>20000</v>
      </c>
      <c r="E3400" s="905"/>
      <c r="F3400" s="851"/>
      <c r="G3400" s="851"/>
      <c r="H3400" s="840">
        <f t="shared" si="104"/>
        <v>0</v>
      </c>
      <c r="I3400" s="840">
        <f t="shared" si="105"/>
        <v>40000</v>
      </c>
    </row>
    <row r="3401" spans="1:9" s="302" customFormat="1" hidden="1">
      <c r="A3401" s="1079"/>
      <c r="B3401" s="475"/>
      <c r="C3401" s="916"/>
      <c r="D3401" s="916"/>
      <c r="E3401" s="905"/>
      <c r="F3401" s="851"/>
      <c r="G3401" s="851"/>
      <c r="H3401" s="840">
        <f t="shared" ref="H3401:H3464" si="106">E3401+D3401-C3401</f>
        <v>0</v>
      </c>
      <c r="I3401" s="840">
        <f t="shared" ref="I3401:I3464" si="107">SUM(C3401:E3401)</f>
        <v>0</v>
      </c>
    </row>
    <row r="3402" spans="1:9" s="302" customFormat="1" hidden="1">
      <c r="A3402" s="1079"/>
      <c r="B3402" s="846"/>
      <c r="C3402" s="904"/>
      <c r="D3402" s="904"/>
      <c r="E3402" s="904"/>
      <c r="F3402" s="851"/>
      <c r="G3402" s="851"/>
      <c r="H3402" s="840">
        <f t="shared" si="106"/>
        <v>0</v>
      </c>
      <c r="I3402" s="840">
        <f t="shared" si="107"/>
        <v>0</v>
      </c>
    </row>
    <row r="3403" spans="1:9" s="302" customFormat="1" hidden="1">
      <c r="A3403" s="1079"/>
      <c r="B3403" s="846"/>
      <c r="C3403" s="904"/>
      <c r="D3403" s="904"/>
      <c r="E3403" s="904"/>
      <c r="F3403" s="851"/>
      <c r="G3403" s="851"/>
      <c r="H3403" s="840">
        <f t="shared" si="106"/>
        <v>0</v>
      </c>
      <c r="I3403" s="840">
        <f t="shared" si="107"/>
        <v>0</v>
      </c>
    </row>
    <row r="3404" spans="1:9" s="302" customFormat="1" hidden="1">
      <c r="A3404" s="1079"/>
      <c r="B3404" s="475"/>
      <c r="C3404" s="916"/>
      <c r="D3404" s="916"/>
      <c r="E3404" s="916"/>
      <c r="F3404" s="851"/>
      <c r="G3404" s="851"/>
      <c r="H3404" s="840">
        <f t="shared" si="106"/>
        <v>0</v>
      </c>
      <c r="I3404" s="840">
        <f t="shared" si="107"/>
        <v>0</v>
      </c>
    </row>
    <row r="3405" spans="1:9" s="302" customFormat="1" hidden="1">
      <c r="A3405" s="1079"/>
      <c r="B3405" s="475"/>
      <c r="C3405" s="916"/>
      <c r="D3405" s="916"/>
      <c r="E3405" s="905"/>
      <c r="F3405" s="851"/>
      <c r="G3405" s="851"/>
      <c r="H3405" s="840">
        <f t="shared" si="106"/>
        <v>0</v>
      </c>
      <c r="I3405" s="840">
        <f t="shared" si="107"/>
        <v>0</v>
      </c>
    </row>
    <row r="3406" spans="1:9" s="302" customFormat="1" hidden="1">
      <c r="A3406" s="1079"/>
      <c r="B3406" s="475"/>
      <c r="C3406" s="916"/>
      <c r="D3406" s="916"/>
      <c r="E3406" s="905"/>
      <c r="F3406" s="851"/>
      <c r="G3406" s="851"/>
      <c r="H3406" s="840">
        <f t="shared" si="106"/>
        <v>0</v>
      </c>
      <c r="I3406" s="840">
        <f t="shared" si="107"/>
        <v>0</v>
      </c>
    </row>
    <row r="3407" spans="1:9" s="302" customFormat="1" hidden="1">
      <c r="A3407" s="1079"/>
      <c r="B3407" s="475"/>
      <c r="C3407" s="916"/>
      <c r="D3407" s="916"/>
      <c r="E3407" s="905"/>
      <c r="F3407" s="851"/>
      <c r="G3407" s="851"/>
      <c r="H3407" s="840">
        <f t="shared" si="106"/>
        <v>0</v>
      </c>
      <c r="I3407" s="840">
        <f t="shared" si="107"/>
        <v>0</v>
      </c>
    </row>
    <row r="3408" spans="1:9" s="302" customFormat="1" hidden="1">
      <c r="A3408" s="1079"/>
      <c r="B3408" s="475"/>
      <c r="C3408" s="916"/>
      <c r="D3408" s="916"/>
      <c r="E3408" s="905"/>
      <c r="F3408" s="851"/>
      <c r="G3408" s="851"/>
      <c r="H3408" s="840">
        <f t="shared" si="106"/>
        <v>0</v>
      </c>
      <c r="I3408" s="840">
        <f t="shared" si="107"/>
        <v>0</v>
      </c>
    </row>
    <row r="3409" spans="1:9" s="302" customFormat="1" hidden="1">
      <c r="A3409" s="1079"/>
      <c r="B3409" s="475"/>
      <c r="C3409" s="916"/>
      <c r="D3409" s="916"/>
      <c r="E3409" s="905"/>
      <c r="F3409" s="851"/>
      <c r="G3409" s="851"/>
      <c r="H3409" s="840">
        <f t="shared" si="106"/>
        <v>0</v>
      </c>
      <c r="I3409" s="840">
        <f t="shared" si="107"/>
        <v>0</v>
      </c>
    </row>
    <row r="3410" spans="1:9" s="302" customFormat="1" hidden="1">
      <c r="A3410" s="1079"/>
      <c r="B3410" s="475"/>
      <c r="C3410" s="916"/>
      <c r="D3410" s="916"/>
      <c r="E3410" s="905"/>
      <c r="F3410" s="851"/>
      <c r="G3410" s="851"/>
      <c r="H3410" s="840">
        <f t="shared" si="106"/>
        <v>0</v>
      </c>
      <c r="I3410" s="840">
        <f t="shared" si="107"/>
        <v>0</v>
      </c>
    </row>
    <row r="3411" spans="1:9" s="302" customFormat="1" hidden="1">
      <c r="A3411" s="1079"/>
      <c r="B3411" s="475"/>
      <c r="C3411" s="916"/>
      <c r="D3411" s="916"/>
      <c r="E3411" s="905"/>
      <c r="F3411" s="851"/>
      <c r="G3411" s="851"/>
      <c r="H3411" s="840">
        <f t="shared" si="106"/>
        <v>0</v>
      </c>
      <c r="I3411" s="840">
        <f t="shared" si="107"/>
        <v>0</v>
      </c>
    </row>
    <row r="3412" spans="1:9" s="302" customFormat="1" hidden="1">
      <c r="A3412" s="1079"/>
      <c r="B3412" s="475"/>
      <c r="C3412" s="916"/>
      <c r="D3412" s="916"/>
      <c r="E3412" s="905"/>
      <c r="F3412" s="851"/>
      <c r="G3412" s="851"/>
      <c r="H3412" s="840">
        <f t="shared" si="106"/>
        <v>0</v>
      </c>
      <c r="I3412" s="840">
        <f t="shared" si="107"/>
        <v>0</v>
      </c>
    </row>
    <row r="3413" spans="1:9" s="302" customFormat="1" hidden="1">
      <c r="A3413" s="1079"/>
      <c r="B3413" s="475"/>
      <c r="C3413" s="916"/>
      <c r="D3413" s="916"/>
      <c r="E3413" s="905"/>
      <c r="F3413" s="851"/>
      <c r="G3413" s="851"/>
      <c r="H3413" s="840">
        <f t="shared" si="106"/>
        <v>0</v>
      </c>
      <c r="I3413" s="840">
        <f t="shared" si="107"/>
        <v>0</v>
      </c>
    </row>
    <row r="3414" spans="1:9" s="302" customFormat="1" hidden="1">
      <c r="A3414" s="1079"/>
      <c r="B3414" s="475"/>
      <c r="C3414" s="916"/>
      <c r="D3414" s="916"/>
      <c r="E3414" s="905"/>
      <c r="F3414" s="851"/>
      <c r="G3414" s="851"/>
      <c r="H3414" s="840">
        <f t="shared" si="106"/>
        <v>0</v>
      </c>
      <c r="I3414" s="840">
        <f t="shared" si="107"/>
        <v>0</v>
      </c>
    </row>
    <row r="3415" spans="1:9" s="302" customFormat="1" hidden="1">
      <c r="A3415" s="1079"/>
      <c r="B3415" s="475"/>
      <c r="C3415" s="916"/>
      <c r="D3415" s="916"/>
      <c r="E3415" s="905"/>
      <c r="F3415" s="851"/>
      <c r="G3415" s="851"/>
      <c r="H3415" s="840">
        <f t="shared" si="106"/>
        <v>0</v>
      </c>
      <c r="I3415" s="840">
        <f t="shared" si="107"/>
        <v>0</v>
      </c>
    </row>
    <row r="3416" spans="1:9" s="302" customFormat="1" hidden="1">
      <c r="A3416" s="1079"/>
      <c r="B3416" s="475"/>
      <c r="C3416" s="916"/>
      <c r="D3416" s="916"/>
      <c r="E3416" s="905"/>
      <c r="F3416" s="851"/>
      <c r="G3416" s="851"/>
      <c r="H3416" s="840">
        <f t="shared" si="106"/>
        <v>0</v>
      </c>
      <c r="I3416" s="840">
        <f t="shared" si="107"/>
        <v>0</v>
      </c>
    </row>
    <row r="3417" spans="1:9" s="302" customFormat="1" hidden="1">
      <c r="A3417" s="1079"/>
      <c r="B3417" s="475"/>
      <c r="C3417" s="916"/>
      <c r="D3417" s="916"/>
      <c r="E3417" s="905"/>
      <c r="F3417" s="851"/>
      <c r="G3417" s="851"/>
      <c r="H3417" s="840">
        <f t="shared" si="106"/>
        <v>0</v>
      </c>
      <c r="I3417" s="840">
        <f t="shared" si="107"/>
        <v>0</v>
      </c>
    </row>
    <row r="3418" spans="1:9" s="302" customFormat="1" hidden="1">
      <c r="A3418" s="1079"/>
      <c r="B3418" s="475"/>
      <c r="C3418" s="916"/>
      <c r="D3418" s="916"/>
      <c r="E3418" s="905"/>
      <c r="F3418" s="851"/>
      <c r="G3418" s="851"/>
      <c r="H3418" s="840">
        <f t="shared" si="106"/>
        <v>0</v>
      </c>
      <c r="I3418" s="840">
        <f t="shared" si="107"/>
        <v>0</v>
      </c>
    </row>
    <row r="3419" spans="1:9" s="302" customFormat="1" hidden="1">
      <c r="A3419" s="1079"/>
      <c r="B3419" s="475"/>
      <c r="C3419" s="916"/>
      <c r="D3419" s="916"/>
      <c r="E3419" s="905"/>
      <c r="F3419" s="851"/>
      <c r="G3419" s="851"/>
      <c r="H3419" s="840">
        <f t="shared" si="106"/>
        <v>0</v>
      </c>
      <c r="I3419" s="840">
        <f t="shared" si="107"/>
        <v>0</v>
      </c>
    </row>
    <row r="3420" spans="1:9" s="302" customFormat="1" hidden="1">
      <c r="A3420" s="1079"/>
      <c r="B3420" s="475"/>
      <c r="C3420" s="916"/>
      <c r="D3420" s="916"/>
      <c r="E3420" s="905"/>
      <c r="F3420" s="851"/>
      <c r="G3420" s="851"/>
      <c r="H3420" s="840">
        <f t="shared" si="106"/>
        <v>0</v>
      </c>
      <c r="I3420" s="840">
        <f t="shared" si="107"/>
        <v>0</v>
      </c>
    </row>
    <row r="3421" spans="1:9" s="302" customFormat="1" hidden="1">
      <c r="A3421" s="1079"/>
      <c r="B3421" s="475"/>
      <c r="C3421" s="916"/>
      <c r="D3421" s="916"/>
      <c r="E3421" s="905"/>
      <c r="F3421" s="851"/>
      <c r="G3421" s="851"/>
      <c r="H3421" s="840">
        <f t="shared" si="106"/>
        <v>0</v>
      </c>
      <c r="I3421" s="840">
        <f t="shared" si="107"/>
        <v>0</v>
      </c>
    </row>
    <row r="3422" spans="1:9" s="302" customFormat="1" hidden="1">
      <c r="A3422" s="1079"/>
      <c r="B3422" s="475"/>
      <c r="C3422" s="916"/>
      <c r="D3422" s="916"/>
      <c r="E3422" s="905"/>
      <c r="F3422" s="851"/>
      <c r="G3422" s="851"/>
      <c r="H3422" s="840">
        <f t="shared" si="106"/>
        <v>0</v>
      </c>
      <c r="I3422" s="840">
        <f t="shared" si="107"/>
        <v>0</v>
      </c>
    </row>
    <row r="3423" spans="1:9" s="302" customFormat="1" hidden="1">
      <c r="A3423" s="1079"/>
      <c r="B3423" s="475"/>
      <c r="C3423" s="916"/>
      <c r="D3423" s="916"/>
      <c r="E3423" s="905"/>
      <c r="F3423" s="851"/>
      <c r="G3423" s="851"/>
      <c r="H3423" s="840">
        <f t="shared" si="106"/>
        <v>0</v>
      </c>
      <c r="I3423" s="840">
        <f t="shared" si="107"/>
        <v>0</v>
      </c>
    </row>
    <row r="3424" spans="1:9" s="302" customFormat="1" hidden="1">
      <c r="A3424" s="1079"/>
      <c r="B3424" s="475"/>
      <c r="C3424" s="916"/>
      <c r="D3424" s="916"/>
      <c r="E3424" s="905"/>
      <c r="F3424" s="851"/>
      <c r="G3424" s="851"/>
      <c r="H3424" s="840">
        <f t="shared" si="106"/>
        <v>0</v>
      </c>
      <c r="I3424" s="840">
        <f t="shared" si="107"/>
        <v>0</v>
      </c>
    </row>
    <row r="3425" spans="1:9" s="302" customFormat="1" hidden="1">
      <c r="A3425" s="1079"/>
      <c r="B3425" s="475"/>
      <c r="C3425" s="916"/>
      <c r="D3425" s="916"/>
      <c r="E3425" s="905"/>
      <c r="F3425" s="851"/>
      <c r="G3425" s="851"/>
      <c r="H3425" s="840">
        <f t="shared" si="106"/>
        <v>0</v>
      </c>
      <c r="I3425" s="840">
        <f t="shared" si="107"/>
        <v>0</v>
      </c>
    </row>
    <row r="3426" spans="1:9" s="302" customFormat="1" hidden="1">
      <c r="A3426" s="1079"/>
      <c r="B3426" s="475"/>
      <c r="C3426" s="916"/>
      <c r="D3426" s="916"/>
      <c r="E3426" s="905"/>
      <c r="F3426" s="851"/>
      <c r="G3426" s="851"/>
      <c r="H3426" s="840">
        <f t="shared" si="106"/>
        <v>0</v>
      </c>
      <c r="I3426" s="840">
        <f t="shared" si="107"/>
        <v>0</v>
      </c>
    </row>
    <row r="3427" spans="1:9" s="302" customFormat="1" hidden="1">
      <c r="A3427" s="1079"/>
      <c r="B3427" s="475"/>
      <c r="C3427" s="916"/>
      <c r="D3427" s="916"/>
      <c r="E3427" s="905"/>
      <c r="F3427" s="851"/>
      <c r="G3427" s="851"/>
      <c r="H3427" s="840">
        <f t="shared" si="106"/>
        <v>0</v>
      </c>
      <c r="I3427" s="840">
        <f t="shared" si="107"/>
        <v>0</v>
      </c>
    </row>
    <row r="3428" spans="1:9" s="302" customFormat="1" hidden="1">
      <c r="A3428" s="1079"/>
      <c r="B3428" s="475"/>
      <c r="C3428" s="916"/>
      <c r="D3428" s="916"/>
      <c r="E3428" s="905"/>
      <c r="F3428" s="851"/>
      <c r="G3428" s="851"/>
      <c r="H3428" s="840">
        <f t="shared" si="106"/>
        <v>0</v>
      </c>
      <c r="I3428" s="840">
        <f t="shared" si="107"/>
        <v>0</v>
      </c>
    </row>
    <row r="3429" spans="1:9" s="302" customFormat="1">
      <c r="A3429" s="1148"/>
      <c r="B3429" s="461" t="s">
        <v>253</v>
      </c>
      <c r="C3429" s="919">
        <f>SUM(C3395:C3428)</f>
        <v>370000</v>
      </c>
      <c r="D3429" s="919">
        <f>SUM(D3395:D3428)</f>
        <v>85000</v>
      </c>
      <c r="E3429" s="919">
        <f>SUM(E3395:E3428)</f>
        <v>285000</v>
      </c>
      <c r="F3429" s="851"/>
      <c r="G3429" s="851"/>
      <c r="H3429" s="840">
        <f t="shared" si="106"/>
        <v>0</v>
      </c>
      <c r="I3429" s="840">
        <f t="shared" si="107"/>
        <v>740000</v>
      </c>
    </row>
    <row r="3430" spans="1:9" s="302" customFormat="1" ht="112.5">
      <c r="A3430" s="1078" t="s">
        <v>135</v>
      </c>
      <c r="B3430" s="475" t="s">
        <v>953</v>
      </c>
      <c r="C3430" s="530">
        <v>75000</v>
      </c>
      <c r="D3430" s="530"/>
      <c r="E3430" s="905">
        <v>75000</v>
      </c>
      <c r="F3430" s="851"/>
      <c r="G3430" s="851"/>
      <c r="H3430" s="840">
        <f t="shared" si="106"/>
        <v>0</v>
      </c>
      <c r="I3430" s="840">
        <f t="shared" si="107"/>
        <v>150000</v>
      </c>
    </row>
    <row r="3431" spans="1:9" s="302" customFormat="1" ht="75">
      <c r="A3431" s="1079"/>
      <c r="B3431" s="475" t="s">
        <v>2955</v>
      </c>
      <c r="C3431" s="908">
        <v>40000</v>
      </c>
      <c r="D3431" s="908"/>
      <c r="E3431" s="905">
        <v>40000</v>
      </c>
      <c r="F3431" s="851"/>
      <c r="G3431" s="851"/>
      <c r="H3431" s="840">
        <f t="shared" si="106"/>
        <v>0</v>
      </c>
      <c r="I3431" s="840">
        <f t="shared" si="107"/>
        <v>80000</v>
      </c>
    </row>
    <row r="3432" spans="1:9" s="302" customFormat="1" hidden="1">
      <c r="A3432" s="1079"/>
      <c r="B3432" s="887"/>
      <c r="C3432" s="916"/>
      <c r="D3432" s="916"/>
      <c r="E3432" s="907"/>
      <c r="F3432" s="851"/>
      <c r="G3432" s="851"/>
      <c r="H3432" s="840">
        <f t="shared" si="106"/>
        <v>0</v>
      </c>
      <c r="I3432" s="840">
        <f t="shared" si="107"/>
        <v>0</v>
      </c>
    </row>
    <row r="3433" spans="1:9" s="302" customFormat="1" hidden="1">
      <c r="A3433" s="1079"/>
      <c r="B3433" s="887"/>
      <c r="C3433" s="916"/>
      <c r="D3433" s="916"/>
      <c r="E3433" s="907"/>
      <c r="F3433" s="851"/>
      <c r="G3433" s="851"/>
      <c r="H3433" s="840">
        <f t="shared" si="106"/>
        <v>0</v>
      </c>
      <c r="I3433" s="840">
        <f t="shared" si="107"/>
        <v>0</v>
      </c>
    </row>
    <row r="3434" spans="1:9" s="302" customFormat="1" hidden="1">
      <c r="A3434" s="1079"/>
      <c r="B3434" s="475"/>
      <c r="C3434" s="916"/>
      <c r="D3434" s="916"/>
      <c r="E3434" s="916"/>
      <c r="F3434" s="851"/>
      <c r="G3434" s="851"/>
      <c r="H3434" s="840">
        <f t="shared" si="106"/>
        <v>0</v>
      </c>
      <c r="I3434" s="840">
        <f t="shared" si="107"/>
        <v>0</v>
      </c>
    </row>
    <row r="3435" spans="1:9" s="302" customFormat="1" hidden="1">
      <c r="A3435" s="1079"/>
      <c r="B3435" s="475"/>
      <c r="C3435" s="916"/>
      <c r="D3435" s="916"/>
      <c r="E3435" s="916"/>
      <c r="F3435" s="851"/>
      <c r="G3435" s="851"/>
      <c r="H3435" s="840">
        <f t="shared" si="106"/>
        <v>0</v>
      </c>
      <c r="I3435" s="840">
        <f t="shared" si="107"/>
        <v>0</v>
      </c>
    </row>
    <row r="3436" spans="1:9" s="302" customFormat="1" hidden="1">
      <c r="A3436" s="1079"/>
      <c r="B3436" s="475"/>
      <c r="C3436" s="916"/>
      <c r="D3436" s="916"/>
      <c r="E3436" s="916"/>
      <c r="F3436" s="851"/>
      <c r="G3436" s="851"/>
      <c r="H3436" s="840">
        <f t="shared" si="106"/>
        <v>0</v>
      </c>
      <c r="I3436" s="840">
        <f t="shared" si="107"/>
        <v>0</v>
      </c>
    </row>
    <row r="3437" spans="1:9" s="302" customFormat="1" hidden="1">
      <c r="A3437" s="1079"/>
      <c r="B3437" s="475"/>
      <c r="C3437" s="916"/>
      <c r="D3437" s="916"/>
      <c r="E3437" s="916"/>
      <c r="F3437" s="851"/>
      <c r="G3437" s="851"/>
      <c r="H3437" s="840">
        <f t="shared" si="106"/>
        <v>0</v>
      </c>
      <c r="I3437" s="840">
        <f t="shared" si="107"/>
        <v>0</v>
      </c>
    </row>
    <row r="3438" spans="1:9" s="302" customFormat="1" hidden="1">
      <c r="A3438" s="1079"/>
      <c r="B3438" s="475"/>
      <c r="C3438" s="916"/>
      <c r="D3438" s="916"/>
      <c r="E3438" s="916"/>
      <c r="F3438" s="851"/>
      <c r="G3438" s="851"/>
      <c r="H3438" s="840">
        <f t="shared" si="106"/>
        <v>0</v>
      </c>
      <c r="I3438" s="840">
        <f t="shared" si="107"/>
        <v>0</v>
      </c>
    </row>
    <row r="3439" spans="1:9" s="302" customFormat="1" hidden="1">
      <c r="A3439" s="1079"/>
      <c r="B3439" s="475"/>
      <c r="C3439" s="916"/>
      <c r="D3439" s="916"/>
      <c r="E3439" s="916"/>
      <c r="F3439" s="851"/>
      <c r="G3439" s="851"/>
      <c r="H3439" s="840">
        <f t="shared" si="106"/>
        <v>0</v>
      </c>
      <c r="I3439" s="840">
        <f t="shared" si="107"/>
        <v>0</v>
      </c>
    </row>
    <row r="3440" spans="1:9" s="302" customFormat="1" hidden="1">
      <c r="A3440" s="1079"/>
      <c r="B3440" s="475"/>
      <c r="C3440" s="916"/>
      <c r="D3440" s="916"/>
      <c r="E3440" s="905"/>
      <c r="F3440" s="851"/>
      <c r="G3440" s="851"/>
      <c r="H3440" s="840">
        <f t="shared" si="106"/>
        <v>0</v>
      </c>
      <c r="I3440" s="840">
        <f t="shared" si="107"/>
        <v>0</v>
      </c>
    </row>
    <row r="3441" spans="1:9" s="302" customFormat="1" hidden="1">
      <c r="A3441" s="1079"/>
      <c r="B3441" s="475"/>
      <c r="C3441" s="916"/>
      <c r="D3441" s="916"/>
      <c r="E3441" s="905"/>
      <c r="F3441" s="851"/>
      <c r="G3441" s="851"/>
      <c r="H3441" s="840">
        <f t="shared" si="106"/>
        <v>0</v>
      </c>
      <c r="I3441" s="840">
        <f t="shared" si="107"/>
        <v>0</v>
      </c>
    </row>
    <row r="3442" spans="1:9" s="302" customFormat="1" hidden="1">
      <c r="A3442" s="1079"/>
      <c r="B3442" s="475"/>
      <c r="C3442" s="916"/>
      <c r="D3442" s="916"/>
      <c r="E3442" s="905"/>
      <c r="F3442" s="851"/>
      <c r="G3442" s="851"/>
      <c r="H3442" s="840">
        <f t="shared" si="106"/>
        <v>0</v>
      </c>
      <c r="I3442" s="840">
        <f t="shared" si="107"/>
        <v>0</v>
      </c>
    </row>
    <row r="3443" spans="1:9" s="302" customFormat="1" hidden="1">
      <c r="A3443" s="1079"/>
      <c r="B3443" s="475"/>
      <c r="C3443" s="916"/>
      <c r="D3443" s="916"/>
      <c r="E3443" s="905"/>
      <c r="F3443" s="851"/>
      <c r="G3443" s="851"/>
      <c r="H3443" s="840">
        <f t="shared" si="106"/>
        <v>0</v>
      </c>
      <c r="I3443" s="840">
        <f t="shared" si="107"/>
        <v>0</v>
      </c>
    </row>
    <row r="3444" spans="1:9" s="302" customFormat="1" hidden="1">
      <c r="A3444" s="1079"/>
      <c r="B3444" s="475"/>
      <c r="C3444" s="916"/>
      <c r="D3444" s="916"/>
      <c r="E3444" s="905"/>
      <c r="F3444" s="851"/>
      <c r="G3444" s="851"/>
      <c r="H3444" s="840">
        <f t="shared" si="106"/>
        <v>0</v>
      </c>
      <c r="I3444" s="840">
        <f t="shared" si="107"/>
        <v>0</v>
      </c>
    </row>
    <row r="3445" spans="1:9" s="302" customFormat="1" hidden="1">
      <c r="A3445" s="1079"/>
      <c r="B3445" s="475"/>
      <c r="C3445" s="916"/>
      <c r="D3445" s="916"/>
      <c r="E3445" s="905"/>
      <c r="F3445" s="851"/>
      <c r="G3445" s="851"/>
      <c r="H3445" s="840">
        <f t="shared" si="106"/>
        <v>0</v>
      </c>
      <c r="I3445" s="840">
        <f t="shared" si="107"/>
        <v>0</v>
      </c>
    </row>
    <row r="3446" spans="1:9" s="302" customFormat="1" hidden="1">
      <c r="A3446" s="1079"/>
      <c r="B3446" s="475"/>
      <c r="C3446" s="916"/>
      <c r="D3446" s="916"/>
      <c r="E3446" s="905"/>
      <c r="F3446" s="851"/>
      <c r="G3446" s="851"/>
      <c r="H3446" s="840">
        <f t="shared" si="106"/>
        <v>0</v>
      </c>
      <c r="I3446" s="840">
        <f t="shared" si="107"/>
        <v>0</v>
      </c>
    </row>
    <row r="3447" spans="1:9" s="302" customFormat="1" hidden="1">
      <c r="A3447" s="1079"/>
      <c r="B3447" s="475"/>
      <c r="C3447" s="916"/>
      <c r="D3447" s="916"/>
      <c r="E3447" s="905"/>
      <c r="F3447" s="851"/>
      <c r="G3447" s="851"/>
      <c r="H3447" s="840">
        <f t="shared" si="106"/>
        <v>0</v>
      </c>
      <c r="I3447" s="840">
        <f t="shared" si="107"/>
        <v>0</v>
      </c>
    </row>
    <row r="3448" spans="1:9" s="302" customFormat="1" hidden="1">
      <c r="A3448" s="1079"/>
      <c r="B3448" s="475"/>
      <c r="C3448" s="916"/>
      <c r="D3448" s="916"/>
      <c r="E3448" s="905"/>
      <c r="F3448" s="851"/>
      <c r="G3448" s="851"/>
      <c r="H3448" s="840">
        <f t="shared" si="106"/>
        <v>0</v>
      </c>
      <c r="I3448" s="840">
        <f t="shared" si="107"/>
        <v>0</v>
      </c>
    </row>
    <row r="3449" spans="1:9" s="302" customFormat="1" hidden="1">
      <c r="A3449" s="1079"/>
      <c r="B3449" s="475"/>
      <c r="C3449" s="916"/>
      <c r="D3449" s="916"/>
      <c r="E3449" s="905"/>
      <c r="F3449" s="851"/>
      <c r="G3449" s="851"/>
      <c r="H3449" s="840">
        <f t="shared" si="106"/>
        <v>0</v>
      </c>
      <c r="I3449" s="840">
        <f t="shared" si="107"/>
        <v>0</v>
      </c>
    </row>
    <row r="3450" spans="1:9" s="302" customFormat="1" hidden="1">
      <c r="A3450" s="1079"/>
      <c r="B3450" s="475"/>
      <c r="C3450" s="916"/>
      <c r="D3450" s="916"/>
      <c r="E3450" s="905"/>
      <c r="F3450" s="851"/>
      <c r="G3450" s="851"/>
      <c r="H3450" s="840">
        <f t="shared" si="106"/>
        <v>0</v>
      </c>
      <c r="I3450" s="840">
        <f t="shared" si="107"/>
        <v>0</v>
      </c>
    </row>
    <row r="3451" spans="1:9" s="302" customFormat="1" hidden="1">
      <c r="A3451" s="1079"/>
      <c r="B3451" s="475"/>
      <c r="C3451" s="916"/>
      <c r="D3451" s="916"/>
      <c r="E3451" s="905"/>
      <c r="F3451" s="851"/>
      <c r="G3451" s="851"/>
      <c r="H3451" s="840">
        <f t="shared" si="106"/>
        <v>0</v>
      </c>
      <c r="I3451" s="840">
        <f t="shared" si="107"/>
        <v>0</v>
      </c>
    </row>
    <row r="3452" spans="1:9" s="302" customFormat="1" hidden="1">
      <c r="A3452" s="1079"/>
      <c r="B3452" s="475"/>
      <c r="C3452" s="916"/>
      <c r="D3452" s="916"/>
      <c r="E3452" s="905"/>
      <c r="F3452" s="851"/>
      <c r="G3452" s="851"/>
      <c r="H3452" s="840">
        <f t="shared" si="106"/>
        <v>0</v>
      </c>
      <c r="I3452" s="840">
        <f t="shared" si="107"/>
        <v>0</v>
      </c>
    </row>
    <row r="3453" spans="1:9" s="302" customFormat="1" hidden="1">
      <c r="A3453" s="1079"/>
      <c r="B3453" s="475"/>
      <c r="C3453" s="916"/>
      <c r="D3453" s="916"/>
      <c r="E3453" s="905"/>
      <c r="F3453" s="851"/>
      <c r="G3453" s="851"/>
      <c r="H3453" s="840">
        <f t="shared" si="106"/>
        <v>0</v>
      </c>
      <c r="I3453" s="840">
        <f t="shared" si="107"/>
        <v>0</v>
      </c>
    </row>
    <row r="3454" spans="1:9" s="302" customFormat="1" hidden="1">
      <c r="A3454" s="1079"/>
      <c r="B3454" s="475"/>
      <c r="C3454" s="916"/>
      <c r="D3454" s="916"/>
      <c r="E3454" s="905"/>
      <c r="F3454" s="851"/>
      <c r="G3454" s="851"/>
      <c r="H3454" s="840">
        <f t="shared" si="106"/>
        <v>0</v>
      </c>
      <c r="I3454" s="840">
        <f t="shared" si="107"/>
        <v>0</v>
      </c>
    </row>
    <row r="3455" spans="1:9" s="302" customFormat="1" hidden="1">
      <c r="A3455" s="1079"/>
      <c r="B3455" s="475"/>
      <c r="C3455" s="916"/>
      <c r="D3455" s="916"/>
      <c r="E3455" s="905"/>
      <c r="F3455" s="851"/>
      <c r="G3455" s="851"/>
      <c r="H3455" s="840">
        <f t="shared" si="106"/>
        <v>0</v>
      </c>
      <c r="I3455" s="840">
        <f t="shared" si="107"/>
        <v>0</v>
      </c>
    </row>
    <row r="3456" spans="1:9" s="302" customFormat="1" hidden="1">
      <c r="A3456" s="1079"/>
      <c r="B3456" s="475"/>
      <c r="C3456" s="916"/>
      <c r="D3456" s="916"/>
      <c r="E3456" s="905"/>
      <c r="F3456" s="851"/>
      <c r="G3456" s="851"/>
      <c r="H3456" s="840">
        <f t="shared" si="106"/>
        <v>0</v>
      </c>
      <c r="I3456" s="840">
        <f t="shared" si="107"/>
        <v>0</v>
      </c>
    </row>
    <row r="3457" spans="1:9" s="302" customFormat="1" hidden="1">
      <c r="A3457" s="1079"/>
      <c r="B3457" s="475"/>
      <c r="C3457" s="916"/>
      <c r="D3457" s="916"/>
      <c r="E3457" s="905"/>
      <c r="F3457" s="851"/>
      <c r="G3457" s="851"/>
      <c r="H3457" s="840">
        <f t="shared" si="106"/>
        <v>0</v>
      </c>
      <c r="I3457" s="840">
        <f t="shared" si="107"/>
        <v>0</v>
      </c>
    </row>
    <row r="3458" spans="1:9" s="302" customFormat="1" hidden="1">
      <c r="A3458" s="1079"/>
      <c r="B3458" s="475"/>
      <c r="C3458" s="916"/>
      <c r="D3458" s="916"/>
      <c r="E3458" s="905"/>
      <c r="F3458" s="851"/>
      <c r="G3458" s="851"/>
      <c r="H3458" s="840">
        <f t="shared" si="106"/>
        <v>0</v>
      </c>
      <c r="I3458" s="840">
        <f t="shared" si="107"/>
        <v>0</v>
      </c>
    </row>
    <row r="3459" spans="1:9" s="302" customFormat="1" hidden="1">
      <c r="A3459" s="1079"/>
      <c r="B3459" s="475"/>
      <c r="C3459" s="916"/>
      <c r="D3459" s="916"/>
      <c r="E3459" s="905"/>
      <c r="F3459" s="851"/>
      <c r="G3459" s="851"/>
      <c r="H3459" s="840">
        <f t="shared" si="106"/>
        <v>0</v>
      </c>
      <c r="I3459" s="840">
        <f t="shared" si="107"/>
        <v>0</v>
      </c>
    </row>
    <row r="3460" spans="1:9" s="302" customFormat="1" hidden="1">
      <c r="A3460" s="1079"/>
      <c r="B3460" s="475"/>
      <c r="C3460" s="916"/>
      <c r="D3460" s="916"/>
      <c r="E3460" s="905"/>
      <c r="F3460" s="851"/>
      <c r="G3460" s="851"/>
      <c r="H3460" s="840">
        <f t="shared" si="106"/>
        <v>0</v>
      </c>
      <c r="I3460" s="840">
        <f t="shared" si="107"/>
        <v>0</v>
      </c>
    </row>
    <row r="3461" spans="1:9" s="302" customFormat="1" hidden="1">
      <c r="A3461" s="1079"/>
      <c r="B3461" s="475"/>
      <c r="C3461" s="916"/>
      <c r="D3461" s="916"/>
      <c r="E3461" s="905"/>
      <c r="F3461" s="851"/>
      <c r="G3461" s="851"/>
      <c r="H3461" s="840">
        <f t="shared" si="106"/>
        <v>0</v>
      </c>
      <c r="I3461" s="840">
        <f t="shared" si="107"/>
        <v>0</v>
      </c>
    </row>
    <row r="3462" spans="1:9" s="302" customFormat="1" hidden="1">
      <c r="A3462" s="1079"/>
      <c r="B3462" s="475"/>
      <c r="C3462" s="916"/>
      <c r="D3462" s="916"/>
      <c r="E3462" s="905"/>
      <c r="F3462" s="851"/>
      <c r="G3462" s="851"/>
      <c r="H3462" s="840">
        <f t="shared" si="106"/>
        <v>0</v>
      </c>
      <c r="I3462" s="840">
        <f t="shared" si="107"/>
        <v>0</v>
      </c>
    </row>
    <row r="3463" spans="1:9" s="302" customFormat="1" hidden="1">
      <c r="A3463" s="1079"/>
      <c r="B3463" s="475"/>
      <c r="C3463" s="916"/>
      <c r="D3463" s="916"/>
      <c r="E3463" s="905"/>
      <c r="F3463" s="851"/>
      <c r="G3463" s="851"/>
      <c r="H3463" s="840">
        <f t="shared" si="106"/>
        <v>0</v>
      </c>
      <c r="I3463" s="840">
        <f t="shared" si="107"/>
        <v>0</v>
      </c>
    </row>
    <row r="3464" spans="1:9" s="302" customFormat="1">
      <c r="A3464" s="1148"/>
      <c r="B3464" s="461" t="s">
        <v>253</v>
      </c>
      <c r="C3464" s="919">
        <f>SUM(C3430:C3463)</f>
        <v>115000</v>
      </c>
      <c r="D3464" s="919">
        <f>SUM(D3430:D3463)</f>
        <v>0</v>
      </c>
      <c r="E3464" s="919">
        <f>SUM(E3430:E3463)</f>
        <v>115000</v>
      </c>
      <c r="F3464" s="851"/>
      <c r="G3464" s="851"/>
      <c r="H3464" s="840">
        <f t="shared" si="106"/>
        <v>0</v>
      </c>
      <c r="I3464" s="840">
        <f t="shared" si="107"/>
        <v>230000</v>
      </c>
    </row>
    <row r="3465" spans="1:9" s="302" customFormat="1" ht="37.5">
      <c r="A3465" s="1078" t="s">
        <v>136</v>
      </c>
      <c r="B3465" s="475" t="s">
        <v>2956</v>
      </c>
      <c r="C3465" s="915">
        <v>15000</v>
      </c>
      <c r="D3465" s="915"/>
      <c r="E3465" s="914">
        <v>15000</v>
      </c>
      <c r="F3465" s="850"/>
      <c r="G3465" s="851"/>
      <c r="H3465" s="840">
        <f t="shared" ref="H3465:H3528" si="108">E3465+D3465-C3465</f>
        <v>0</v>
      </c>
      <c r="I3465" s="840">
        <f t="shared" ref="I3465:I3528" si="109">SUM(C3465:E3465)</f>
        <v>30000</v>
      </c>
    </row>
    <row r="3466" spans="1:9" s="302" customFormat="1" ht="75">
      <c r="A3466" s="1079"/>
      <c r="B3466" s="475" t="s">
        <v>2957</v>
      </c>
      <c r="C3466" s="915">
        <v>18000</v>
      </c>
      <c r="D3466" s="915">
        <v>18000</v>
      </c>
      <c r="E3466" s="914"/>
      <c r="F3466" s="850"/>
      <c r="G3466" s="851"/>
      <c r="H3466" s="840">
        <f t="shared" si="108"/>
        <v>0</v>
      </c>
      <c r="I3466" s="840">
        <f t="shared" si="109"/>
        <v>36000</v>
      </c>
    </row>
    <row r="3467" spans="1:9" s="302" customFormat="1" ht="56.25">
      <c r="A3467" s="1079"/>
      <c r="B3467" s="475" t="s">
        <v>2958</v>
      </c>
      <c r="C3467" s="915">
        <v>5000</v>
      </c>
      <c r="D3467" s="915">
        <v>5000</v>
      </c>
      <c r="E3467" s="914"/>
      <c r="F3467" s="850"/>
      <c r="G3467" s="851"/>
      <c r="H3467" s="840">
        <f t="shared" si="108"/>
        <v>0</v>
      </c>
      <c r="I3467" s="840">
        <f t="shared" si="109"/>
        <v>10000</v>
      </c>
    </row>
    <row r="3468" spans="1:9" s="302" customFormat="1" hidden="1">
      <c r="A3468" s="1079"/>
      <c r="B3468" s="887"/>
      <c r="C3468" s="916"/>
      <c r="D3468" s="916"/>
      <c r="E3468" s="907"/>
      <c r="F3468" s="850"/>
      <c r="G3468" s="851"/>
      <c r="H3468" s="840">
        <f t="shared" si="108"/>
        <v>0</v>
      </c>
      <c r="I3468" s="840">
        <f t="shared" si="109"/>
        <v>0</v>
      </c>
    </row>
    <row r="3469" spans="1:9" s="302" customFormat="1" hidden="1">
      <c r="A3469" s="1079"/>
      <c r="B3469" s="475"/>
      <c r="C3469" s="916"/>
      <c r="D3469" s="916"/>
      <c r="E3469" s="916"/>
      <c r="F3469" s="850"/>
      <c r="G3469" s="851"/>
      <c r="H3469" s="840">
        <f t="shared" si="108"/>
        <v>0</v>
      </c>
      <c r="I3469" s="840">
        <f t="shared" si="109"/>
        <v>0</v>
      </c>
    </row>
    <row r="3470" spans="1:9" s="302" customFormat="1" hidden="1">
      <c r="A3470" s="1079"/>
      <c r="B3470" s="475"/>
      <c r="C3470" s="916"/>
      <c r="D3470" s="916"/>
      <c r="E3470" s="916"/>
      <c r="F3470" s="850"/>
      <c r="G3470" s="851"/>
      <c r="H3470" s="840">
        <f t="shared" si="108"/>
        <v>0</v>
      </c>
      <c r="I3470" s="840">
        <f t="shared" si="109"/>
        <v>0</v>
      </c>
    </row>
    <row r="3471" spans="1:9" s="302" customFormat="1" hidden="1">
      <c r="A3471" s="1079"/>
      <c r="B3471" s="475"/>
      <c r="C3471" s="916"/>
      <c r="D3471" s="916"/>
      <c r="E3471" s="916"/>
      <c r="F3471" s="850"/>
      <c r="G3471" s="851"/>
      <c r="H3471" s="840">
        <f t="shared" si="108"/>
        <v>0</v>
      </c>
      <c r="I3471" s="840">
        <f t="shared" si="109"/>
        <v>0</v>
      </c>
    </row>
    <row r="3472" spans="1:9" s="302" customFormat="1" hidden="1">
      <c r="A3472" s="1079"/>
      <c r="B3472" s="475"/>
      <c r="C3472" s="916"/>
      <c r="D3472" s="916"/>
      <c r="E3472" s="916"/>
      <c r="F3472" s="850"/>
      <c r="G3472" s="851"/>
      <c r="H3472" s="840">
        <f t="shared" si="108"/>
        <v>0</v>
      </c>
      <c r="I3472" s="840">
        <f t="shared" si="109"/>
        <v>0</v>
      </c>
    </row>
    <row r="3473" spans="1:9" s="302" customFormat="1" hidden="1">
      <c r="A3473" s="1079"/>
      <c r="B3473" s="475"/>
      <c r="C3473" s="916"/>
      <c r="D3473" s="916"/>
      <c r="E3473" s="916"/>
      <c r="F3473" s="850"/>
      <c r="G3473" s="851"/>
      <c r="H3473" s="840">
        <f t="shared" si="108"/>
        <v>0</v>
      </c>
      <c r="I3473" s="840">
        <f t="shared" si="109"/>
        <v>0</v>
      </c>
    </row>
    <row r="3474" spans="1:9" s="302" customFormat="1" hidden="1">
      <c r="A3474" s="1079"/>
      <c r="B3474" s="475"/>
      <c r="C3474" s="916"/>
      <c r="D3474" s="916"/>
      <c r="E3474" s="916"/>
      <c r="F3474" s="850"/>
      <c r="G3474" s="851"/>
      <c r="H3474" s="840">
        <f t="shared" si="108"/>
        <v>0</v>
      </c>
      <c r="I3474" s="840">
        <f t="shared" si="109"/>
        <v>0</v>
      </c>
    </row>
    <row r="3475" spans="1:9" s="302" customFormat="1" hidden="1">
      <c r="A3475" s="1079"/>
      <c r="B3475" s="475"/>
      <c r="C3475" s="916"/>
      <c r="D3475" s="916"/>
      <c r="E3475" s="905"/>
      <c r="F3475" s="850"/>
      <c r="G3475" s="851"/>
      <c r="H3475" s="840">
        <f t="shared" si="108"/>
        <v>0</v>
      </c>
      <c r="I3475" s="840">
        <f t="shared" si="109"/>
        <v>0</v>
      </c>
    </row>
    <row r="3476" spans="1:9" s="302" customFormat="1" hidden="1">
      <c r="A3476" s="1079"/>
      <c r="B3476" s="475"/>
      <c r="C3476" s="916"/>
      <c r="D3476" s="916"/>
      <c r="E3476" s="905"/>
      <c r="F3476" s="850"/>
      <c r="G3476" s="851"/>
      <c r="H3476" s="840">
        <f t="shared" si="108"/>
        <v>0</v>
      </c>
      <c r="I3476" s="840">
        <f t="shared" si="109"/>
        <v>0</v>
      </c>
    </row>
    <row r="3477" spans="1:9" s="302" customFormat="1" hidden="1">
      <c r="A3477" s="1079"/>
      <c r="B3477" s="475"/>
      <c r="C3477" s="916"/>
      <c r="D3477" s="916"/>
      <c r="E3477" s="905"/>
      <c r="F3477" s="850"/>
      <c r="G3477" s="851"/>
      <c r="H3477" s="840">
        <f t="shared" si="108"/>
        <v>0</v>
      </c>
      <c r="I3477" s="840">
        <f t="shared" si="109"/>
        <v>0</v>
      </c>
    </row>
    <row r="3478" spans="1:9" s="302" customFormat="1" hidden="1">
      <c r="A3478" s="1079"/>
      <c r="B3478" s="475"/>
      <c r="C3478" s="916"/>
      <c r="D3478" s="916"/>
      <c r="E3478" s="905"/>
      <c r="F3478" s="850"/>
      <c r="G3478" s="851"/>
      <c r="H3478" s="840">
        <f t="shared" si="108"/>
        <v>0</v>
      </c>
      <c r="I3478" s="840">
        <f t="shared" si="109"/>
        <v>0</v>
      </c>
    </row>
    <row r="3479" spans="1:9" s="302" customFormat="1" hidden="1">
      <c r="A3479" s="1079"/>
      <c r="B3479" s="475"/>
      <c r="C3479" s="916"/>
      <c r="D3479" s="916"/>
      <c r="E3479" s="905"/>
      <c r="F3479" s="850"/>
      <c r="G3479" s="851"/>
      <c r="H3479" s="840">
        <f t="shared" si="108"/>
        <v>0</v>
      </c>
      <c r="I3479" s="840">
        <f t="shared" si="109"/>
        <v>0</v>
      </c>
    </row>
    <row r="3480" spans="1:9" s="302" customFormat="1" hidden="1">
      <c r="A3480" s="1079"/>
      <c r="B3480" s="475"/>
      <c r="C3480" s="916"/>
      <c r="D3480" s="916"/>
      <c r="E3480" s="905"/>
      <c r="F3480" s="850"/>
      <c r="G3480" s="851"/>
      <c r="H3480" s="840">
        <f t="shared" si="108"/>
        <v>0</v>
      </c>
      <c r="I3480" s="840">
        <f t="shared" si="109"/>
        <v>0</v>
      </c>
    </row>
    <row r="3481" spans="1:9" s="302" customFormat="1" hidden="1">
      <c r="A3481" s="1079"/>
      <c r="B3481" s="475"/>
      <c r="C3481" s="916"/>
      <c r="D3481" s="916"/>
      <c r="E3481" s="905"/>
      <c r="F3481" s="850"/>
      <c r="G3481" s="851"/>
      <c r="H3481" s="840">
        <f t="shared" si="108"/>
        <v>0</v>
      </c>
      <c r="I3481" s="840">
        <f t="shared" si="109"/>
        <v>0</v>
      </c>
    </row>
    <row r="3482" spans="1:9" s="302" customFormat="1" hidden="1">
      <c r="A3482" s="1079"/>
      <c r="B3482" s="475"/>
      <c r="C3482" s="916"/>
      <c r="D3482" s="916"/>
      <c r="E3482" s="905"/>
      <c r="F3482" s="850"/>
      <c r="G3482" s="851"/>
      <c r="H3482" s="840">
        <f t="shared" si="108"/>
        <v>0</v>
      </c>
      <c r="I3482" s="840">
        <f t="shared" si="109"/>
        <v>0</v>
      </c>
    </row>
    <row r="3483" spans="1:9" s="302" customFormat="1" hidden="1">
      <c r="A3483" s="1079"/>
      <c r="B3483" s="475"/>
      <c r="C3483" s="916"/>
      <c r="D3483" s="916"/>
      <c r="E3483" s="905"/>
      <c r="F3483" s="850"/>
      <c r="G3483" s="851"/>
      <c r="H3483" s="840">
        <f t="shared" si="108"/>
        <v>0</v>
      </c>
      <c r="I3483" s="840">
        <f t="shared" si="109"/>
        <v>0</v>
      </c>
    </row>
    <row r="3484" spans="1:9" s="302" customFormat="1" hidden="1">
      <c r="A3484" s="1079"/>
      <c r="B3484" s="475"/>
      <c r="C3484" s="916"/>
      <c r="D3484" s="916"/>
      <c r="E3484" s="905"/>
      <c r="F3484" s="850"/>
      <c r="G3484" s="851"/>
      <c r="H3484" s="840">
        <f t="shared" si="108"/>
        <v>0</v>
      </c>
      <c r="I3484" s="840">
        <f t="shared" si="109"/>
        <v>0</v>
      </c>
    </row>
    <row r="3485" spans="1:9" s="302" customFormat="1" hidden="1">
      <c r="A3485" s="1079"/>
      <c r="B3485" s="475"/>
      <c r="C3485" s="916"/>
      <c r="D3485" s="916"/>
      <c r="E3485" s="905"/>
      <c r="F3485" s="850"/>
      <c r="G3485" s="851"/>
      <c r="H3485" s="840">
        <f t="shared" si="108"/>
        <v>0</v>
      </c>
      <c r="I3485" s="840">
        <f t="shared" si="109"/>
        <v>0</v>
      </c>
    </row>
    <row r="3486" spans="1:9" s="302" customFormat="1" hidden="1">
      <c r="A3486" s="1079"/>
      <c r="B3486" s="475"/>
      <c r="C3486" s="916"/>
      <c r="D3486" s="916"/>
      <c r="E3486" s="905"/>
      <c r="F3486" s="850"/>
      <c r="G3486" s="851"/>
      <c r="H3486" s="840">
        <f t="shared" si="108"/>
        <v>0</v>
      </c>
      <c r="I3486" s="840">
        <f t="shared" si="109"/>
        <v>0</v>
      </c>
    </row>
    <row r="3487" spans="1:9" s="302" customFormat="1" hidden="1">
      <c r="A3487" s="1079"/>
      <c r="B3487" s="475"/>
      <c r="C3487" s="916"/>
      <c r="D3487" s="916"/>
      <c r="E3487" s="905"/>
      <c r="F3487" s="850"/>
      <c r="G3487" s="851"/>
      <c r="H3487" s="840">
        <f t="shared" si="108"/>
        <v>0</v>
      </c>
      <c r="I3487" s="840">
        <f t="shared" si="109"/>
        <v>0</v>
      </c>
    </row>
    <row r="3488" spans="1:9" s="302" customFormat="1" hidden="1">
      <c r="A3488" s="1079"/>
      <c r="B3488" s="475"/>
      <c r="C3488" s="916"/>
      <c r="D3488" s="916"/>
      <c r="E3488" s="905"/>
      <c r="F3488" s="850"/>
      <c r="G3488" s="851"/>
      <c r="H3488" s="840">
        <f t="shared" si="108"/>
        <v>0</v>
      </c>
      <c r="I3488" s="840">
        <f t="shared" si="109"/>
        <v>0</v>
      </c>
    </row>
    <row r="3489" spans="1:9" s="302" customFormat="1" hidden="1">
      <c r="A3489" s="1079"/>
      <c r="B3489" s="475"/>
      <c r="C3489" s="916"/>
      <c r="D3489" s="916"/>
      <c r="E3489" s="905"/>
      <c r="F3489" s="850"/>
      <c r="G3489" s="851"/>
      <c r="H3489" s="840">
        <f t="shared" si="108"/>
        <v>0</v>
      </c>
      <c r="I3489" s="840">
        <f t="shared" si="109"/>
        <v>0</v>
      </c>
    </row>
    <row r="3490" spans="1:9" s="302" customFormat="1" hidden="1">
      <c r="A3490" s="1079"/>
      <c r="B3490" s="475"/>
      <c r="C3490" s="916"/>
      <c r="D3490" s="916"/>
      <c r="E3490" s="905"/>
      <c r="F3490" s="850"/>
      <c r="G3490" s="851"/>
      <c r="H3490" s="840">
        <f t="shared" si="108"/>
        <v>0</v>
      </c>
      <c r="I3490" s="840">
        <f t="shared" si="109"/>
        <v>0</v>
      </c>
    </row>
    <row r="3491" spans="1:9" s="302" customFormat="1" hidden="1">
      <c r="A3491" s="1079"/>
      <c r="B3491" s="475"/>
      <c r="C3491" s="916"/>
      <c r="D3491" s="916"/>
      <c r="E3491" s="905"/>
      <c r="F3491" s="850"/>
      <c r="G3491" s="851"/>
      <c r="H3491" s="840">
        <f t="shared" si="108"/>
        <v>0</v>
      </c>
      <c r="I3491" s="840">
        <f t="shared" si="109"/>
        <v>0</v>
      </c>
    </row>
    <row r="3492" spans="1:9" s="302" customFormat="1" hidden="1">
      <c r="A3492" s="1079"/>
      <c r="B3492" s="475"/>
      <c r="C3492" s="916"/>
      <c r="D3492" s="916"/>
      <c r="E3492" s="905"/>
      <c r="F3492" s="850"/>
      <c r="G3492" s="851"/>
      <c r="H3492" s="840">
        <f t="shared" si="108"/>
        <v>0</v>
      </c>
      <c r="I3492" s="840">
        <f t="shared" si="109"/>
        <v>0</v>
      </c>
    </row>
    <row r="3493" spans="1:9" s="302" customFormat="1" hidden="1">
      <c r="A3493" s="1079"/>
      <c r="B3493" s="475"/>
      <c r="C3493" s="916"/>
      <c r="D3493" s="916"/>
      <c r="E3493" s="905"/>
      <c r="F3493" s="850"/>
      <c r="G3493" s="851"/>
      <c r="H3493" s="840">
        <f t="shared" si="108"/>
        <v>0</v>
      </c>
      <c r="I3493" s="840">
        <f t="shared" si="109"/>
        <v>0</v>
      </c>
    </row>
    <row r="3494" spans="1:9" s="302" customFormat="1" hidden="1">
      <c r="A3494" s="1079"/>
      <c r="B3494" s="475"/>
      <c r="C3494" s="916"/>
      <c r="D3494" s="916"/>
      <c r="E3494" s="905"/>
      <c r="F3494" s="850"/>
      <c r="G3494" s="851"/>
      <c r="H3494" s="840">
        <f t="shared" si="108"/>
        <v>0</v>
      </c>
      <c r="I3494" s="840">
        <f t="shared" si="109"/>
        <v>0</v>
      </c>
    </row>
    <row r="3495" spans="1:9" s="302" customFormat="1" hidden="1">
      <c r="A3495" s="1079"/>
      <c r="B3495" s="475"/>
      <c r="C3495" s="916"/>
      <c r="D3495" s="916"/>
      <c r="E3495" s="905"/>
      <c r="F3495" s="850"/>
      <c r="G3495" s="851"/>
      <c r="H3495" s="840">
        <f t="shared" si="108"/>
        <v>0</v>
      </c>
      <c r="I3495" s="840">
        <f t="shared" si="109"/>
        <v>0</v>
      </c>
    </row>
    <row r="3496" spans="1:9" s="302" customFormat="1" hidden="1">
      <c r="A3496" s="1079"/>
      <c r="B3496" s="475"/>
      <c r="C3496" s="916"/>
      <c r="D3496" s="916"/>
      <c r="E3496" s="905"/>
      <c r="F3496" s="850"/>
      <c r="G3496" s="851"/>
      <c r="H3496" s="840">
        <f t="shared" si="108"/>
        <v>0</v>
      </c>
      <c r="I3496" s="840">
        <f t="shared" si="109"/>
        <v>0</v>
      </c>
    </row>
    <row r="3497" spans="1:9" s="302" customFormat="1" hidden="1">
      <c r="A3497" s="1079"/>
      <c r="B3497" s="475"/>
      <c r="C3497" s="916"/>
      <c r="D3497" s="916"/>
      <c r="E3497" s="905"/>
      <c r="F3497" s="850"/>
      <c r="G3497" s="851"/>
      <c r="H3497" s="840">
        <f t="shared" si="108"/>
        <v>0</v>
      </c>
      <c r="I3497" s="840">
        <f t="shared" si="109"/>
        <v>0</v>
      </c>
    </row>
    <row r="3498" spans="1:9" s="302" customFormat="1" hidden="1">
      <c r="A3498" s="1079"/>
      <c r="B3498" s="475"/>
      <c r="C3498" s="916"/>
      <c r="D3498" s="916"/>
      <c r="E3498" s="905"/>
      <c r="F3498" s="850"/>
      <c r="G3498" s="851"/>
      <c r="H3498" s="840">
        <f t="shared" si="108"/>
        <v>0</v>
      </c>
      <c r="I3498" s="840">
        <f t="shared" si="109"/>
        <v>0</v>
      </c>
    </row>
    <row r="3499" spans="1:9" s="302" customFormat="1">
      <c r="A3499" s="1148"/>
      <c r="B3499" s="461" t="s">
        <v>253</v>
      </c>
      <c r="C3499" s="945">
        <f>SUM(C3465:C3498)</f>
        <v>38000</v>
      </c>
      <c r="D3499" s="945">
        <f>SUM(D3465:D3498)</f>
        <v>23000</v>
      </c>
      <c r="E3499" s="945">
        <f>SUM(E3465:E3498)</f>
        <v>15000</v>
      </c>
      <c r="F3499" s="850"/>
      <c r="G3499" s="851"/>
      <c r="H3499" s="840">
        <f t="shared" si="108"/>
        <v>0</v>
      </c>
      <c r="I3499" s="840">
        <f t="shared" si="109"/>
        <v>76000</v>
      </c>
    </row>
    <row r="3500" spans="1:9" s="302" customFormat="1" ht="56.25">
      <c r="A3500" s="1078" t="s">
        <v>806</v>
      </c>
      <c r="B3500" s="475" t="s">
        <v>950</v>
      </c>
      <c r="C3500" s="932">
        <v>180000</v>
      </c>
      <c r="D3500" s="932"/>
      <c r="E3500" s="932">
        <v>180000</v>
      </c>
      <c r="F3500" s="850"/>
      <c r="G3500" s="851"/>
      <c r="H3500" s="840">
        <f t="shared" si="108"/>
        <v>0</v>
      </c>
      <c r="I3500" s="840">
        <f t="shared" si="109"/>
        <v>360000</v>
      </c>
    </row>
    <row r="3501" spans="1:9" s="302" customFormat="1" ht="75">
      <c r="A3501" s="1079"/>
      <c r="B3501" s="475" t="s">
        <v>2414</v>
      </c>
      <c r="C3501" s="911">
        <v>175414</v>
      </c>
      <c r="D3501" s="911"/>
      <c r="E3501" s="911">
        <v>175414</v>
      </c>
      <c r="F3501" s="850"/>
      <c r="G3501" s="851"/>
      <c r="H3501" s="840">
        <f t="shared" si="108"/>
        <v>0</v>
      </c>
      <c r="I3501" s="840">
        <f t="shared" si="109"/>
        <v>350828</v>
      </c>
    </row>
    <row r="3502" spans="1:9" s="302" customFormat="1" ht="75">
      <c r="A3502" s="1079"/>
      <c r="B3502" s="475" t="s">
        <v>2339</v>
      </c>
      <c r="C3502" s="905">
        <v>8000</v>
      </c>
      <c r="D3502" s="932">
        <v>8000</v>
      </c>
      <c r="E3502" s="932"/>
      <c r="F3502" s="850"/>
      <c r="G3502" s="851"/>
      <c r="H3502" s="840">
        <f t="shared" si="108"/>
        <v>0</v>
      </c>
      <c r="I3502" s="840">
        <f t="shared" si="109"/>
        <v>16000</v>
      </c>
    </row>
    <row r="3503" spans="1:9" s="302" customFormat="1" ht="37.5">
      <c r="A3503" s="1079"/>
      <c r="B3503" s="475" t="s">
        <v>2227</v>
      </c>
      <c r="C3503" s="905">
        <v>17000</v>
      </c>
      <c r="D3503" s="932">
        <v>17000</v>
      </c>
      <c r="E3503" s="932"/>
      <c r="F3503" s="850"/>
      <c r="G3503" s="851"/>
      <c r="H3503" s="840">
        <f t="shared" si="108"/>
        <v>0</v>
      </c>
      <c r="I3503" s="840">
        <f t="shared" si="109"/>
        <v>34000</v>
      </c>
    </row>
    <row r="3504" spans="1:9" s="302" customFormat="1" ht="56.25">
      <c r="A3504" s="1079"/>
      <c r="B3504" s="535" t="s">
        <v>2228</v>
      </c>
      <c r="C3504" s="914">
        <v>15000</v>
      </c>
      <c r="D3504" s="914"/>
      <c r="E3504" s="914">
        <v>15000</v>
      </c>
      <c r="F3504" s="850"/>
      <c r="G3504" s="851"/>
      <c r="H3504" s="840">
        <f t="shared" si="108"/>
        <v>0</v>
      </c>
      <c r="I3504" s="840">
        <f t="shared" si="109"/>
        <v>30000</v>
      </c>
    </row>
    <row r="3505" spans="1:9" s="302" customFormat="1" ht="56.25">
      <c r="A3505" s="1079"/>
      <c r="B3505" s="873" t="s">
        <v>2229</v>
      </c>
      <c r="C3505" s="914">
        <v>45000</v>
      </c>
      <c r="D3505" s="904"/>
      <c r="E3505" s="914">
        <v>45000</v>
      </c>
      <c r="F3505" s="850"/>
      <c r="G3505" s="851"/>
      <c r="H3505" s="840">
        <f t="shared" si="108"/>
        <v>0</v>
      </c>
      <c r="I3505" s="840">
        <f t="shared" si="109"/>
        <v>90000</v>
      </c>
    </row>
    <row r="3506" spans="1:9" s="302" customFormat="1" ht="56.25">
      <c r="A3506" s="1079"/>
      <c r="B3506" s="475" t="s">
        <v>2521</v>
      </c>
      <c r="C3506" s="916">
        <v>82840</v>
      </c>
      <c r="D3506" s="916"/>
      <c r="E3506" s="916">
        <v>82840</v>
      </c>
      <c r="F3506" s="850"/>
      <c r="G3506" s="851"/>
      <c r="H3506" s="840">
        <f t="shared" si="108"/>
        <v>0</v>
      </c>
      <c r="I3506" s="840">
        <f t="shared" si="109"/>
        <v>165680</v>
      </c>
    </row>
    <row r="3507" spans="1:9" s="302" customFormat="1" ht="56.25">
      <c r="A3507" s="1079"/>
      <c r="B3507" s="475" t="s">
        <v>2626</v>
      </c>
      <c r="C3507" s="905">
        <v>150000</v>
      </c>
      <c r="D3507" s="905">
        <v>150000</v>
      </c>
      <c r="E3507" s="905"/>
      <c r="F3507" s="850"/>
      <c r="G3507" s="851"/>
      <c r="H3507" s="840">
        <f t="shared" si="108"/>
        <v>0</v>
      </c>
      <c r="I3507" s="840">
        <f t="shared" si="109"/>
        <v>300000</v>
      </c>
    </row>
    <row r="3508" spans="1:9" s="302" customFormat="1" ht="75">
      <c r="A3508" s="1079"/>
      <c r="B3508" s="475" t="s">
        <v>2627</v>
      </c>
      <c r="C3508" s="905">
        <v>70000</v>
      </c>
      <c r="D3508" s="905"/>
      <c r="E3508" s="905">
        <v>70000</v>
      </c>
      <c r="F3508" s="850"/>
      <c r="G3508" s="851"/>
      <c r="H3508" s="840">
        <f t="shared" si="108"/>
        <v>0</v>
      </c>
      <c r="I3508" s="840">
        <f t="shared" si="109"/>
        <v>140000</v>
      </c>
    </row>
    <row r="3509" spans="1:9" s="302" customFormat="1" ht="75">
      <c r="A3509" s="1079"/>
      <c r="B3509" s="535" t="s">
        <v>2959</v>
      </c>
      <c r="C3509" s="914">
        <v>40000</v>
      </c>
      <c r="D3509" s="914">
        <v>5000</v>
      </c>
      <c r="E3509" s="914">
        <v>35000</v>
      </c>
      <c r="F3509" s="850"/>
      <c r="G3509" s="851"/>
      <c r="H3509" s="840">
        <f t="shared" si="108"/>
        <v>0</v>
      </c>
      <c r="I3509" s="840">
        <f t="shared" si="109"/>
        <v>80000</v>
      </c>
    </row>
    <row r="3510" spans="1:9" s="302" customFormat="1" ht="75">
      <c r="A3510" s="1079"/>
      <c r="B3510" s="535" t="s">
        <v>2960</v>
      </c>
      <c r="C3510" s="914">
        <v>20000</v>
      </c>
      <c r="D3510" s="914">
        <v>20000</v>
      </c>
      <c r="E3510" s="914"/>
      <c r="F3510" s="850"/>
      <c r="G3510" s="851"/>
      <c r="H3510" s="840">
        <f t="shared" si="108"/>
        <v>0</v>
      </c>
      <c r="I3510" s="840">
        <f t="shared" si="109"/>
        <v>40000</v>
      </c>
    </row>
    <row r="3511" spans="1:9" s="302" customFormat="1" ht="75">
      <c r="A3511" s="1079"/>
      <c r="B3511" s="535" t="s">
        <v>2961</v>
      </c>
      <c r="C3511" s="914">
        <v>20000</v>
      </c>
      <c r="D3511" s="914">
        <v>20000</v>
      </c>
      <c r="E3511" s="914"/>
      <c r="F3511" s="850"/>
      <c r="G3511" s="851"/>
      <c r="H3511" s="840">
        <f t="shared" si="108"/>
        <v>0</v>
      </c>
      <c r="I3511" s="840">
        <f t="shared" si="109"/>
        <v>40000</v>
      </c>
    </row>
    <row r="3512" spans="1:9" s="302" customFormat="1" ht="56.25">
      <c r="A3512" s="1079"/>
      <c r="B3512" s="535" t="s">
        <v>2962</v>
      </c>
      <c r="C3512" s="914">
        <v>15000</v>
      </c>
      <c r="D3512" s="914">
        <v>15000</v>
      </c>
      <c r="E3512" s="914"/>
      <c r="F3512" s="850"/>
      <c r="G3512" s="851"/>
      <c r="H3512" s="840">
        <f t="shared" si="108"/>
        <v>0</v>
      </c>
      <c r="I3512" s="840">
        <f t="shared" si="109"/>
        <v>30000</v>
      </c>
    </row>
    <row r="3513" spans="1:9" s="302" customFormat="1" ht="56.25">
      <c r="A3513" s="1079"/>
      <c r="B3513" s="535" t="s">
        <v>2963</v>
      </c>
      <c r="C3513" s="914">
        <v>10000</v>
      </c>
      <c r="D3513" s="914">
        <v>10000</v>
      </c>
      <c r="E3513" s="914"/>
      <c r="F3513" s="850"/>
      <c r="G3513" s="851"/>
      <c r="H3513" s="840">
        <f t="shared" si="108"/>
        <v>0</v>
      </c>
      <c r="I3513" s="840">
        <f t="shared" si="109"/>
        <v>20000</v>
      </c>
    </row>
    <row r="3514" spans="1:9" s="302" customFormat="1" ht="37.5">
      <c r="A3514" s="1079"/>
      <c r="B3514" s="535" t="s">
        <v>2964</v>
      </c>
      <c r="C3514" s="914">
        <v>10000</v>
      </c>
      <c r="D3514" s="914">
        <v>10000</v>
      </c>
      <c r="E3514" s="914"/>
      <c r="F3514" s="850"/>
      <c r="G3514" s="851"/>
      <c r="H3514" s="840">
        <f t="shared" si="108"/>
        <v>0</v>
      </c>
      <c r="I3514" s="840">
        <f t="shared" si="109"/>
        <v>20000</v>
      </c>
    </row>
    <row r="3515" spans="1:9" s="302" customFormat="1" ht="75">
      <c r="A3515" s="1079"/>
      <c r="B3515" s="475" t="s">
        <v>2965</v>
      </c>
      <c r="C3515" s="905">
        <v>12800</v>
      </c>
      <c r="D3515" s="906"/>
      <c r="E3515" s="906">
        <v>12800</v>
      </c>
      <c r="F3515" s="850"/>
      <c r="G3515" s="851"/>
      <c r="H3515" s="840">
        <f t="shared" si="108"/>
        <v>0</v>
      </c>
      <c r="I3515" s="840">
        <f t="shared" si="109"/>
        <v>25600</v>
      </c>
    </row>
    <row r="3516" spans="1:9" s="302" customFormat="1" ht="75">
      <c r="A3516" s="1079"/>
      <c r="B3516" s="475" t="s">
        <v>964</v>
      </c>
      <c r="C3516" s="916">
        <v>100000</v>
      </c>
      <c r="D3516" s="916"/>
      <c r="E3516" s="905">
        <v>100000</v>
      </c>
      <c r="F3516" s="850"/>
      <c r="G3516" s="851"/>
      <c r="H3516" s="840">
        <f t="shared" si="108"/>
        <v>0</v>
      </c>
      <c r="I3516" s="840">
        <f t="shared" si="109"/>
        <v>200000</v>
      </c>
    </row>
    <row r="3517" spans="1:9" s="302" customFormat="1" hidden="1">
      <c r="A3517" s="1079"/>
      <c r="B3517" s="475"/>
      <c r="C3517" s="916"/>
      <c r="D3517" s="916"/>
      <c r="E3517" s="905"/>
      <c r="F3517" s="850"/>
      <c r="G3517" s="851"/>
      <c r="H3517" s="840">
        <f t="shared" si="108"/>
        <v>0</v>
      </c>
      <c r="I3517" s="840">
        <f t="shared" si="109"/>
        <v>0</v>
      </c>
    </row>
    <row r="3518" spans="1:9" s="302" customFormat="1" hidden="1">
      <c r="A3518" s="1079"/>
      <c r="B3518" s="475"/>
      <c r="C3518" s="916"/>
      <c r="D3518" s="916"/>
      <c r="E3518" s="905"/>
      <c r="F3518" s="850"/>
      <c r="G3518" s="851"/>
      <c r="H3518" s="840">
        <f t="shared" si="108"/>
        <v>0</v>
      </c>
      <c r="I3518" s="840">
        <f t="shared" si="109"/>
        <v>0</v>
      </c>
    </row>
    <row r="3519" spans="1:9" s="302" customFormat="1" hidden="1">
      <c r="A3519" s="1079"/>
      <c r="B3519" s="475"/>
      <c r="C3519" s="916"/>
      <c r="D3519" s="916"/>
      <c r="E3519" s="905"/>
      <c r="F3519" s="850"/>
      <c r="G3519" s="851"/>
      <c r="H3519" s="840">
        <f t="shared" si="108"/>
        <v>0</v>
      </c>
      <c r="I3519" s="840">
        <f t="shared" si="109"/>
        <v>0</v>
      </c>
    </row>
    <row r="3520" spans="1:9" s="302" customFormat="1" hidden="1">
      <c r="A3520" s="1079"/>
      <c r="B3520" s="475"/>
      <c r="C3520" s="916"/>
      <c r="D3520" s="916"/>
      <c r="E3520" s="905"/>
      <c r="F3520" s="850"/>
      <c r="G3520" s="851"/>
      <c r="H3520" s="840">
        <f t="shared" si="108"/>
        <v>0</v>
      </c>
      <c r="I3520" s="840">
        <f t="shared" si="109"/>
        <v>0</v>
      </c>
    </row>
    <row r="3521" spans="1:9" s="302" customFormat="1" hidden="1">
      <c r="A3521" s="1079"/>
      <c r="B3521" s="475"/>
      <c r="C3521" s="916"/>
      <c r="D3521" s="916"/>
      <c r="E3521" s="905"/>
      <c r="F3521" s="850"/>
      <c r="G3521" s="851"/>
      <c r="H3521" s="840">
        <f t="shared" si="108"/>
        <v>0</v>
      </c>
      <c r="I3521" s="840">
        <f t="shared" si="109"/>
        <v>0</v>
      </c>
    </row>
    <row r="3522" spans="1:9" s="302" customFormat="1" hidden="1">
      <c r="A3522" s="1079"/>
      <c r="B3522" s="475"/>
      <c r="C3522" s="916"/>
      <c r="D3522" s="916"/>
      <c r="E3522" s="905"/>
      <c r="F3522" s="850"/>
      <c r="G3522" s="851"/>
      <c r="H3522" s="840">
        <f t="shared" si="108"/>
        <v>0</v>
      </c>
      <c r="I3522" s="840">
        <f t="shared" si="109"/>
        <v>0</v>
      </c>
    </row>
    <row r="3523" spans="1:9" s="302" customFormat="1" hidden="1">
      <c r="A3523" s="1079"/>
      <c r="B3523" s="475"/>
      <c r="C3523" s="916"/>
      <c r="D3523" s="916"/>
      <c r="E3523" s="905"/>
      <c r="F3523" s="850"/>
      <c r="G3523" s="851"/>
      <c r="H3523" s="840">
        <f t="shared" si="108"/>
        <v>0</v>
      </c>
      <c r="I3523" s="840">
        <f t="shared" si="109"/>
        <v>0</v>
      </c>
    </row>
    <row r="3524" spans="1:9" s="302" customFormat="1" hidden="1">
      <c r="A3524" s="1079"/>
      <c r="B3524" s="475"/>
      <c r="C3524" s="916"/>
      <c r="D3524" s="916"/>
      <c r="E3524" s="905"/>
      <c r="F3524" s="850"/>
      <c r="G3524" s="851"/>
      <c r="H3524" s="840">
        <f t="shared" si="108"/>
        <v>0</v>
      </c>
      <c r="I3524" s="840">
        <f t="shared" si="109"/>
        <v>0</v>
      </c>
    </row>
    <row r="3525" spans="1:9" s="302" customFormat="1" hidden="1">
      <c r="A3525" s="1079"/>
      <c r="B3525" s="475"/>
      <c r="C3525" s="916"/>
      <c r="D3525" s="916"/>
      <c r="E3525" s="905"/>
      <c r="F3525" s="850"/>
      <c r="G3525" s="851"/>
      <c r="H3525" s="840">
        <f t="shared" si="108"/>
        <v>0</v>
      </c>
      <c r="I3525" s="840">
        <f t="shared" si="109"/>
        <v>0</v>
      </c>
    </row>
    <row r="3526" spans="1:9" s="302" customFormat="1" hidden="1">
      <c r="A3526" s="1079"/>
      <c r="B3526" s="475"/>
      <c r="C3526" s="916"/>
      <c r="D3526" s="916"/>
      <c r="E3526" s="905"/>
      <c r="F3526" s="850"/>
      <c r="G3526" s="851"/>
      <c r="H3526" s="840">
        <f t="shared" si="108"/>
        <v>0</v>
      </c>
      <c r="I3526" s="840">
        <f t="shared" si="109"/>
        <v>0</v>
      </c>
    </row>
    <row r="3527" spans="1:9" s="302" customFormat="1" hidden="1">
      <c r="A3527" s="1079"/>
      <c r="B3527" s="475"/>
      <c r="C3527" s="916"/>
      <c r="D3527" s="916"/>
      <c r="E3527" s="905"/>
      <c r="F3527" s="850"/>
      <c r="G3527" s="851"/>
      <c r="H3527" s="840">
        <f t="shared" si="108"/>
        <v>0</v>
      </c>
      <c r="I3527" s="840">
        <f t="shared" si="109"/>
        <v>0</v>
      </c>
    </row>
    <row r="3528" spans="1:9" s="302" customFormat="1" hidden="1">
      <c r="A3528" s="1079"/>
      <c r="B3528" s="475"/>
      <c r="C3528" s="916"/>
      <c r="D3528" s="916"/>
      <c r="E3528" s="905"/>
      <c r="F3528" s="850"/>
      <c r="G3528" s="851"/>
      <c r="H3528" s="840">
        <f t="shared" si="108"/>
        <v>0</v>
      </c>
      <c r="I3528" s="840">
        <f t="shared" si="109"/>
        <v>0</v>
      </c>
    </row>
    <row r="3529" spans="1:9" s="302" customFormat="1" hidden="1">
      <c r="A3529" s="1079"/>
      <c r="B3529" s="475"/>
      <c r="C3529" s="916"/>
      <c r="D3529" s="916"/>
      <c r="E3529" s="905"/>
      <c r="F3529" s="850"/>
      <c r="G3529" s="851"/>
      <c r="H3529" s="840">
        <f t="shared" ref="H3529:H3592" si="110">E3529+D3529-C3529</f>
        <v>0</v>
      </c>
      <c r="I3529" s="840">
        <f t="shared" ref="I3529:I3592" si="111">SUM(C3529:E3529)</f>
        <v>0</v>
      </c>
    </row>
    <row r="3530" spans="1:9" s="302" customFormat="1" hidden="1">
      <c r="A3530" s="1079"/>
      <c r="B3530" s="475"/>
      <c r="C3530" s="916"/>
      <c r="D3530" s="916"/>
      <c r="E3530" s="905"/>
      <c r="F3530" s="850"/>
      <c r="G3530" s="851"/>
      <c r="H3530" s="840">
        <f t="shared" si="110"/>
        <v>0</v>
      </c>
      <c r="I3530" s="840">
        <f t="shared" si="111"/>
        <v>0</v>
      </c>
    </row>
    <row r="3531" spans="1:9" s="302" customFormat="1" hidden="1">
      <c r="A3531" s="1079"/>
      <c r="B3531" s="475"/>
      <c r="C3531" s="916"/>
      <c r="D3531" s="916"/>
      <c r="E3531" s="905"/>
      <c r="F3531" s="850"/>
      <c r="G3531" s="851"/>
      <c r="H3531" s="840">
        <f t="shared" si="110"/>
        <v>0</v>
      </c>
      <c r="I3531" s="840">
        <f t="shared" si="111"/>
        <v>0</v>
      </c>
    </row>
    <row r="3532" spans="1:9" s="302" customFormat="1" hidden="1">
      <c r="A3532" s="1079"/>
      <c r="B3532" s="475"/>
      <c r="C3532" s="916"/>
      <c r="D3532" s="916"/>
      <c r="E3532" s="905"/>
      <c r="F3532" s="850"/>
      <c r="G3532" s="851"/>
      <c r="H3532" s="840">
        <f t="shared" si="110"/>
        <v>0</v>
      </c>
      <c r="I3532" s="840">
        <f t="shared" si="111"/>
        <v>0</v>
      </c>
    </row>
    <row r="3533" spans="1:9" s="302" customFormat="1" hidden="1">
      <c r="A3533" s="1079"/>
      <c r="B3533" s="475"/>
      <c r="C3533" s="916"/>
      <c r="D3533" s="916"/>
      <c r="E3533" s="905"/>
      <c r="F3533" s="850"/>
      <c r="G3533" s="851"/>
      <c r="H3533" s="840">
        <f t="shared" si="110"/>
        <v>0</v>
      </c>
      <c r="I3533" s="840">
        <f t="shared" si="111"/>
        <v>0</v>
      </c>
    </row>
    <row r="3534" spans="1:9" s="302" customFormat="1">
      <c r="A3534" s="1148"/>
      <c r="B3534" s="461" t="s">
        <v>253</v>
      </c>
      <c r="C3534" s="919">
        <f>SUM(C3500:C3533)</f>
        <v>971054</v>
      </c>
      <c r="D3534" s="919">
        <f>SUM(D3500:D3533)</f>
        <v>255000</v>
      </c>
      <c r="E3534" s="919">
        <f>SUM(E3500:E3533)</f>
        <v>716054</v>
      </c>
      <c r="F3534" s="850"/>
      <c r="G3534" s="851"/>
      <c r="H3534" s="840">
        <f t="shared" si="110"/>
        <v>0</v>
      </c>
      <c r="I3534" s="840">
        <f t="shared" si="111"/>
        <v>1942108</v>
      </c>
    </row>
    <row r="3535" spans="1:9" s="302" customFormat="1" ht="112.5">
      <c r="A3535" s="1078" t="s">
        <v>807</v>
      </c>
      <c r="B3535" s="475" t="s">
        <v>953</v>
      </c>
      <c r="C3535" s="530">
        <f>60000</f>
        <v>60000</v>
      </c>
      <c r="D3535" s="530"/>
      <c r="E3535" s="905">
        <f>60000</f>
        <v>60000</v>
      </c>
      <c r="F3535" s="850"/>
      <c r="G3535" s="851"/>
      <c r="H3535" s="840">
        <f t="shared" si="110"/>
        <v>0</v>
      </c>
      <c r="I3535" s="840">
        <f t="shared" si="111"/>
        <v>120000</v>
      </c>
    </row>
    <row r="3536" spans="1:9" s="302" customFormat="1" ht="37.5">
      <c r="A3536" s="1079"/>
      <c r="B3536" s="475" t="s">
        <v>1500</v>
      </c>
      <c r="C3536" s="530">
        <v>10000</v>
      </c>
      <c r="D3536" s="530">
        <v>2500</v>
      </c>
      <c r="E3536" s="905">
        <v>7500</v>
      </c>
      <c r="F3536" s="850"/>
      <c r="G3536" s="851"/>
      <c r="H3536" s="840">
        <f t="shared" si="110"/>
        <v>0</v>
      </c>
      <c r="I3536" s="840">
        <f t="shared" si="111"/>
        <v>20000</v>
      </c>
    </row>
    <row r="3537" spans="1:9" s="302" customFormat="1" ht="37.5">
      <c r="A3537" s="1079"/>
      <c r="B3537" s="475" t="s">
        <v>1501</v>
      </c>
      <c r="C3537" s="530">
        <v>10000</v>
      </c>
      <c r="D3537" s="530">
        <v>2500</v>
      </c>
      <c r="E3537" s="905">
        <v>7500</v>
      </c>
      <c r="F3537" s="850"/>
      <c r="G3537" s="851"/>
      <c r="H3537" s="840">
        <f t="shared" si="110"/>
        <v>0</v>
      </c>
      <c r="I3537" s="840">
        <f t="shared" si="111"/>
        <v>20000</v>
      </c>
    </row>
    <row r="3538" spans="1:9" s="302" customFormat="1" ht="37.5">
      <c r="A3538" s="1079"/>
      <c r="B3538" s="475" t="s">
        <v>1502</v>
      </c>
      <c r="C3538" s="530">
        <v>5000</v>
      </c>
      <c r="D3538" s="530">
        <v>5000</v>
      </c>
      <c r="E3538" s="905"/>
      <c r="F3538" s="850"/>
      <c r="G3538" s="851"/>
      <c r="H3538" s="840">
        <f t="shared" si="110"/>
        <v>0</v>
      </c>
      <c r="I3538" s="840">
        <f t="shared" si="111"/>
        <v>10000</v>
      </c>
    </row>
    <row r="3539" spans="1:9" s="302" customFormat="1" ht="56.25">
      <c r="A3539" s="1079"/>
      <c r="B3539" s="475" t="s">
        <v>1503</v>
      </c>
      <c r="C3539" s="530">
        <v>7000</v>
      </c>
      <c r="D3539" s="530">
        <v>7000</v>
      </c>
      <c r="E3539" s="905"/>
      <c r="F3539" s="850"/>
      <c r="G3539" s="851"/>
      <c r="H3539" s="840">
        <f t="shared" si="110"/>
        <v>0</v>
      </c>
      <c r="I3539" s="840">
        <f t="shared" si="111"/>
        <v>14000</v>
      </c>
    </row>
    <row r="3540" spans="1:9" s="302" customFormat="1" ht="37.5">
      <c r="A3540" s="1079"/>
      <c r="B3540" s="475" t="s">
        <v>1504</v>
      </c>
      <c r="C3540" s="530">
        <v>50000</v>
      </c>
      <c r="D3540" s="530"/>
      <c r="E3540" s="905">
        <v>50000</v>
      </c>
      <c r="F3540" s="850"/>
      <c r="G3540" s="851"/>
      <c r="H3540" s="840">
        <f t="shared" si="110"/>
        <v>0</v>
      </c>
      <c r="I3540" s="840">
        <f t="shared" si="111"/>
        <v>100000</v>
      </c>
    </row>
    <row r="3541" spans="1:9" s="302" customFormat="1" ht="93.75">
      <c r="A3541" s="1079"/>
      <c r="B3541" s="475" t="s">
        <v>1930</v>
      </c>
      <c r="C3541" s="911">
        <v>80000</v>
      </c>
      <c r="D3541" s="911"/>
      <c r="E3541" s="911">
        <v>80000</v>
      </c>
      <c r="F3541" s="850"/>
      <c r="G3541" s="851"/>
      <c r="H3541" s="840">
        <f t="shared" si="110"/>
        <v>0</v>
      </c>
      <c r="I3541" s="840">
        <f t="shared" si="111"/>
        <v>160000</v>
      </c>
    </row>
    <row r="3542" spans="1:9" s="302" customFormat="1" ht="56.25">
      <c r="A3542" s="1079"/>
      <c r="B3542" s="475" t="s">
        <v>2230</v>
      </c>
      <c r="C3542" s="908">
        <v>9000</v>
      </c>
      <c r="D3542" s="908"/>
      <c r="E3542" s="905">
        <v>9000</v>
      </c>
      <c r="F3542" s="850"/>
      <c r="G3542" s="851"/>
      <c r="H3542" s="840">
        <f t="shared" si="110"/>
        <v>0</v>
      </c>
      <c r="I3542" s="840">
        <f t="shared" si="111"/>
        <v>18000</v>
      </c>
    </row>
    <row r="3543" spans="1:9" s="302" customFormat="1" ht="37.5">
      <c r="A3543" s="1079"/>
      <c r="B3543" s="475" t="s">
        <v>2231</v>
      </c>
      <c r="C3543" s="908">
        <v>12000</v>
      </c>
      <c r="D3543" s="908">
        <v>12000</v>
      </c>
      <c r="E3543" s="905"/>
      <c r="F3543" s="850"/>
      <c r="G3543" s="851"/>
      <c r="H3543" s="840">
        <f t="shared" si="110"/>
        <v>0</v>
      </c>
      <c r="I3543" s="840">
        <f t="shared" si="111"/>
        <v>24000</v>
      </c>
    </row>
    <row r="3544" spans="1:9" s="302" customFormat="1" ht="75">
      <c r="A3544" s="1079"/>
      <c r="B3544" s="475" t="s">
        <v>2232</v>
      </c>
      <c r="C3544" s="908">
        <v>10000</v>
      </c>
      <c r="D3544" s="908">
        <v>10000</v>
      </c>
      <c r="E3544" s="905"/>
      <c r="F3544" s="850"/>
      <c r="G3544" s="851"/>
      <c r="H3544" s="840">
        <f t="shared" si="110"/>
        <v>0</v>
      </c>
      <c r="I3544" s="840">
        <f t="shared" si="111"/>
        <v>20000</v>
      </c>
    </row>
    <row r="3545" spans="1:9" s="302" customFormat="1" ht="56.25">
      <c r="A3545" s="1079"/>
      <c r="B3545" s="475" t="s">
        <v>2233</v>
      </c>
      <c r="C3545" s="908">
        <v>30000</v>
      </c>
      <c r="D3545" s="908">
        <v>30000</v>
      </c>
      <c r="E3545" s="905"/>
      <c r="F3545" s="850"/>
      <c r="G3545" s="851"/>
      <c r="H3545" s="840">
        <f t="shared" si="110"/>
        <v>0</v>
      </c>
      <c r="I3545" s="840">
        <f t="shared" si="111"/>
        <v>60000</v>
      </c>
    </row>
    <row r="3546" spans="1:9" s="302" customFormat="1" ht="56.25">
      <c r="A3546" s="1079"/>
      <c r="B3546" s="475" t="s">
        <v>2234</v>
      </c>
      <c r="C3546" s="908">
        <v>10000</v>
      </c>
      <c r="D3546" s="908">
        <v>10000</v>
      </c>
      <c r="E3546" s="905"/>
      <c r="F3546" s="850"/>
      <c r="G3546" s="851"/>
      <c r="H3546" s="840">
        <f t="shared" si="110"/>
        <v>0</v>
      </c>
      <c r="I3546" s="840">
        <f t="shared" si="111"/>
        <v>20000</v>
      </c>
    </row>
    <row r="3547" spans="1:9" s="302" customFormat="1" ht="75">
      <c r="A3547" s="1079"/>
      <c r="B3547" s="475" t="s">
        <v>2235</v>
      </c>
      <c r="C3547" s="908">
        <v>6000</v>
      </c>
      <c r="D3547" s="908">
        <v>6000</v>
      </c>
      <c r="E3547" s="905"/>
      <c r="F3547" s="850"/>
      <c r="G3547" s="851"/>
      <c r="H3547" s="840">
        <f t="shared" si="110"/>
        <v>0</v>
      </c>
      <c r="I3547" s="840">
        <f t="shared" si="111"/>
        <v>12000</v>
      </c>
    </row>
    <row r="3548" spans="1:9" s="302" customFormat="1" ht="75">
      <c r="A3548" s="1079"/>
      <c r="B3548" s="475" t="s">
        <v>2236</v>
      </c>
      <c r="C3548" s="908">
        <v>3000</v>
      </c>
      <c r="D3548" s="908">
        <v>3000</v>
      </c>
      <c r="E3548" s="905"/>
      <c r="F3548" s="850"/>
      <c r="G3548" s="851"/>
      <c r="H3548" s="840">
        <f t="shared" si="110"/>
        <v>0</v>
      </c>
      <c r="I3548" s="840">
        <f t="shared" si="111"/>
        <v>6000</v>
      </c>
    </row>
    <row r="3549" spans="1:9" s="302" customFormat="1" ht="56.25">
      <c r="A3549" s="1079"/>
      <c r="B3549" s="475" t="s">
        <v>2237</v>
      </c>
      <c r="C3549" s="905">
        <v>10000</v>
      </c>
      <c r="D3549" s="905"/>
      <c r="E3549" s="905">
        <v>10000</v>
      </c>
      <c r="F3549" s="850"/>
      <c r="G3549" s="851"/>
      <c r="H3549" s="840">
        <f t="shared" si="110"/>
        <v>0</v>
      </c>
      <c r="I3549" s="840">
        <f t="shared" si="111"/>
        <v>20000</v>
      </c>
    </row>
    <row r="3550" spans="1:9" s="302" customFormat="1" ht="37.5">
      <c r="A3550" s="1079"/>
      <c r="B3550" s="475" t="s">
        <v>2628</v>
      </c>
      <c r="C3550" s="905">
        <v>70000</v>
      </c>
      <c r="D3550" s="905"/>
      <c r="E3550" s="905">
        <v>70000</v>
      </c>
      <c r="F3550" s="850"/>
      <c r="G3550" s="851"/>
      <c r="H3550" s="840">
        <f t="shared" si="110"/>
        <v>0</v>
      </c>
      <c r="I3550" s="840">
        <f t="shared" si="111"/>
        <v>140000</v>
      </c>
    </row>
    <row r="3551" spans="1:9" s="302" customFormat="1" ht="37.5">
      <c r="A3551" s="1079"/>
      <c r="B3551" s="475" t="s">
        <v>2966</v>
      </c>
      <c r="C3551" s="915">
        <v>5026</v>
      </c>
      <c r="D3551" s="915">
        <v>5026</v>
      </c>
      <c r="E3551" s="914"/>
      <c r="F3551" s="850"/>
      <c r="G3551" s="851"/>
      <c r="H3551" s="840">
        <f t="shared" si="110"/>
        <v>0</v>
      </c>
      <c r="I3551" s="840">
        <f t="shared" si="111"/>
        <v>10052</v>
      </c>
    </row>
    <row r="3552" spans="1:9" s="302" customFormat="1" ht="56.25">
      <c r="A3552" s="1079"/>
      <c r="B3552" s="535" t="s">
        <v>2967</v>
      </c>
      <c r="C3552" s="914">
        <v>12000</v>
      </c>
      <c r="D3552" s="914">
        <v>12000</v>
      </c>
      <c r="E3552" s="914"/>
      <c r="F3552" s="850"/>
      <c r="G3552" s="851"/>
      <c r="H3552" s="840">
        <f t="shared" si="110"/>
        <v>0</v>
      </c>
      <c r="I3552" s="840">
        <f t="shared" si="111"/>
        <v>24000</v>
      </c>
    </row>
    <row r="3553" spans="1:9" s="302" customFormat="1" ht="56.25">
      <c r="A3553" s="1079"/>
      <c r="B3553" s="535" t="s">
        <v>2968</v>
      </c>
      <c r="C3553" s="914">
        <v>8000</v>
      </c>
      <c r="D3553" s="914">
        <v>8000</v>
      </c>
      <c r="E3553" s="914"/>
      <c r="F3553" s="850"/>
      <c r="G3553" s="851"/>
      <c r="H3553" s="840">
        <f t="shared" si="110"/>
        <v>0</v>
      </c>
      <c r="I3553" s="840">
        <f t="shared" si="111"/>
        <v>16000</v>
      </c>
    </row>
    <row r="3554" spans="1:9" s="302" customFormat="1" ht="56.25">
      <c r="A3554" s="1079"/>
      <c r="B3554" s="535" t="s">
        <v>2969</v>
      </c>
      <c r="C3554" s="914">
        <v>15000</v>
      </c>
      <c r="D3554" s="914">
        <v>15000</v>
      </c>
      <c r="E3554" s="914"/>
      <c r="F3554" s="850"/>
      <c r="G3554" s="851"/>
      <c r="H3554" s="840">
        <f t="shared" si="110"/>
        <v>0</v>
      </c>
      <c r="I3554" s="840">
        <f t="shared" si="111"/>
        <v>30000</v>
      </c>
    </row>
    <row r="3555" spans="1:9" s="302" customFormat="1" ht="56.25">
      <c r="A3555" s="1079"/>
      <c r="B3555" s="535" t="s">
        <v>2970</v>
      </c>
      <c r="C3555" s="914">
        <v>3240</v>
      </c>
      <c r="D3555" s="914">
        <v>3240</v>
      </c>
      <c r="E3555" s="914"/>
      <c r="F3555" s="850"/>
      <c r="G3555" s="851"/>
      <c r="H3555" s="840">
        <f t="shared" si="110"/>
        <v>0</v>
      </c>
      <c r="I3555" s="840">
        <f t="shared" si="111"/>
        <v>6480</v>
      </c>
    </row>
    <row r="3556" spans="1:9" s="302" customFormat="1" ht="56.25">
      <c r="A3556" s="1079"/>
      <c r="B3556" s="535" t="s">
        <v>2971</v>
      </c>
      <c r="C3556" s="905">
        <v>8200</v>
      </c>
      <c r="D3556" s="905"/>
      <c r="E3556" s="905">
        <v>8200</v>
      </c>
      <c r="F3556" s="850"/>
      <c r="G3556" s="851"/>
      <c r="H3556" s="840">
        <f t="shared" si="110"/>
        <v>0</v>
      </c>
      <c r="I3556" s="840">
        <f t="shared" si="111"/>
        <v>16400</v>
      </c>
    </row>
    <row r="3557" spans="1:9" s="302" customFormat="1" ht="56.25">
      <c r="A3557" s="1079"/>
      <c r="B3557" s="535" t="s">
        <v>2972</v>
      </c>
      <c r="C3557" s="905">
        <v>4000</v>
      </c>
      <c r="D3557" s="905">
        <v>4000</v>
      </c>
      <c r="E3557" s="905"/>
      <c r="F3557" s="850"/>
      <c r="G3557" s="851"/>
      <c r="H3557" s="840">
        <f t="shared" si="110"/>
        <v>0</v>
      </c>
      <c r="I3557" s="840">
        <f t="shared" si="111"/>
        <v>8000</v>
      </c>
    </row>
    <row r="3558" spans="1:9" s="302" customFormat="1" ht="56.25">
      <c r="A3558" s="1079"/>
      <c r="B3558" s="475" t="s">
        <v>2973</v>
      </c>
      <c r="C3558" s="905">
        <v>9000</v>
      </c>
      <c r="D3558" s="905"/>
      <c r="E3558" s="905">
        <v>9000</v>
      </c>
      <c r="F3558" s="850"/>
      <c r="G3558" s="851"/>
      <c r="H3558" s="840">
        <f t="shared" si="110"/>
        <v>0</v>
      </c>
      <c r="I3558" s="840">
        <f t="shared" si="111"/>
        <v>18000</v>
      </c>
    </row>
    <row r="3559" spans="1:9" s="302" customFormat="1" ht="56.25">
      <c r="A3559" s="1079"/>
      <c r="B3559" s="475" t="s">
        <v>2974</v>
      </c>
      <c r="C3559" s="908">
        <v>8000</v>
      </c>
      <c r="D3559" s="908">
        <v>8000</v>
      </c>
      <c r="E3559" s="908"/>
      <c r="F3559" s="850"/>
      <c r="G3559" s="851"/>
      <c r="H3559" s="840">
        <f t="shared" si="110"/>
        <v>0</v>
      </c>
      <c r="I3559" s="840">
        <f t="shared" si="111"/>
        <v>16000</v>
      </c>
    </row>
    <row r="3560" spans="1:9" ht="37.5">
      <c r="A3560" s="1079"/>
      <c r="B3560" s="475" t="s">
        <v>2975</v>
      </c>
      <c r="C3560" s="905">
        <v>17000</v>
      </c>
      <c r="D3560" s="905">
        <v>17000</v>
      </c>
      <c r="E3560" s="906"/>
      <c r="F3560" s="865" t="e">
        <f>F191+F318+F434+F474+F562+F615+F675+F724+F765+F819+F880+F919+F998+F1098+F1165+F1264+F1386+F1456+F1534+F1583+F1780+F1875+F1969+F2046+F2132+F2211+F2352+F2424+F2431+F2437+F2538+#REF!+#REF!+#REF!+#REF!+#REF!+#REF!+#REF!+#REF!+#REF!+#REF!+#REF!+#REF!+#REF!+#REF!+#REF!+#REF!+#REF!+F2585</f>
        <v>#REF!</v>
      </c>
      <c r="G3560" s="866" t="e">
        <f>G191+G318+G434+G474+G562+G615+G675+G724+G765+G819+G880+G919+G998+G1098+G1165+G1264+G1386+G1456+G1534+G1583+G1780+G1875+G1969+G2046+G2132+G2211+G2352+G2424+G2431+G2437+G2538+#REF!+#REF!+#REF!+#REF!+#REF!+#REF!+#REF!+#REF!+#REF!+#REF!+#REF!+#REF!+#REF!+#REF!+#REF!+#REF!+#REF!+G2585</f>
        <v>#REF!</v>
      </c>
      <c r="H3560" s="840">
        <f t="shared" si="110"/>
        <v>0</v>
      </c>
      <c r="I3560" s="840">
        <f t="shared" si="111"/>
        <v>34000</v>
      </c>
    </row>
    <row r="3561" spans="1:9" s="302" customFormat="1" ht="75">
      <c r="A3561" s="1079"/>
      <c r="B3561" s="475" t="s">
        <v>3167</v>
      </c>
      <c r="C3561" s="908">
        <v>50000</v>
      </c>
      <c r="D3561" s="908">
        <v>50000</v>
      </c>
      <c r="E3561" s="905"/>
      <c r="F3561" s="886"/>
      <c r="G3561" s="886"/>
      <c r="H3561" s="840">
        <f t="shared" si="110"/>
        <v>0</v>
      </c>
      <c r="I3561" s="840">
        <f t="shared" si="111"/>
        <v>100000</v>
      </c>
    </row>
    <row r="3562" spans="1:9" s="302" customFormat="1" hidden="1">
      <c r="A3562" s="1079"/>
      <c r="B3562" s="475"/>
      <c r="C3562" s="916"/>
      <c r="D3562" s="916"/>
      <c r="E3562" s="905"/>
      <c r="F3562" s="841"/>
      <c r="G3562" s="841"/>
      <c r="H3562" s="840">
        <f t="shared" si="110"/>
        <v>0</v>
      </c>
      <c r="I3562" s="840">
        <f t="shared" si="111"/>
        <v>0</v>
      </c>
    </row>
    <row r="3563" spans="1:9" s="302" customFormat="1" ht="90" hidden="1" customHeight="1">
      <c r="A3563" s="1079"/>
      <c r="B3563" s="475"/>
      <c r="C3563" s="916"/>
      <c r="D3563" s="916"/>
      <c r="E3563" s="905"/>
      <c r="F3563" s="841"/>
      <c r="G3563" s="841"/>
      <c r="H3563" s="840">
        <f t="shared" si="110"/>
        <v>0</v>
      </c>
      <c r="I3563" s="840">
        <f t="shared" si="111"/>
        <v>0</v>
      </c>
    </row>
    <row r="3564" spans="1:9" hidden="1">
      <c r="A3564" s="1079"/>
      <c r="B3564" s="475"/>
      <c r="C3564" s="916"/>
      <c r="D3564" s="916"/>
      <c r="E3564" s="905"/>
      <c r="F3564" s="841"/>
      <c r="G3564" s="841"/>
      <c r="H3564" s="840">
        <f t="shared" si="110"/>
        <v>0</v>
      </c>
      <c r="I3564" s="840">
        <f t="shared" si="111"/>
        <v>0</v>
      </c>
    </row>
    <row r="3565" spans="1:9" hidden="1">
      <c r="A3565" s="1079"/>
      <c r="B3565" s="475"/>
      <c r="C3565" s="916"/>
      <c r="D3565" s="916"/>
      <c r="E3565" s="905"/>
      <c r="F3565" s="841"/>
      <c r="G3565" s="841"/>
      <c r="H3565" s="840">
        <f t="shared" si="110"/>
        <v>0</v>
      </c>
      <c r="I3565" s="840">
        <f t="shared" si="111"/>
        <v>0</v>
      </c>
    </row>
    <row r="3566" spans="1:9" hidden="1">
      <c r="A3566" s="1079"/>
      <c r="B3566" s="475"/>
      <c r="C3566" s="916"/>
      <c r="D3566" s="916"/>
      <c r="E3566" s="905"/>
      <c r="F3566" s="841"/>
      <c r="G3566" s="841"/>
      <c r="H3566" s="840">
        <f t="shared" si="110"/>
        <v>0</v>
      </c>
      <c r="I3566" s="840">
        <f t="shared" si="111"/>
        <v>0</v>
      </c>
    </row>
    <row r="3567" spans="1:9" hidden="1">
      <c r="A3567" s="1079"/>
      <c r="B3567" s="475"/>
      <c r="C3567" s="916"/>
      <c r="D3567" s="916"/>
      <c r="E3567" s="905"/>
      <c r="H3567" s="840">
        <f t="shared" si="110"/>
        <v>0</v>
      </c>
      <c r="I3567" s="840">
        <f t="shared" si="111"/>
        <v>0</v>
      </c>
    </row>
    <row r="3568" spans="1:9" hidden="1">
      <c r="A3568" s="1079"/>
      <c r="B3568" s="475"/>
      <c r="C3568" s="916"/>
      <c r="D3568" s="916"/>
      <c r="E3568" s="905"/>
      <c r="G3568" s="673"/>
      <c r="H3568" s="840">
        <f t="shared" si="110"/>
        <v>0</v>
      </c>
      <c r="I3568" s="840">
        <f t="shared" si="111"/>
        <v>0</v>
      </c>
    </row>
    <row r="3569" spans="1:9">
      <c r="A3569" s="1148"/>
      <c r="B3569" s="461" t="s">
        <v>253</v>
      </c>
      <c r="C3569" s="919">
        <f>SUM(C3535:C3568)</f>
        <v>521466</v>
      </c>
      <c r="D3569" s="919">
        <f>SUM(D3535:D3568)</f>
        <v>210266</v>
      </c>
      <c r="E3569" s="919">
        <f>SUM(E3535:E3568)</f>
        <v>311200</v>
      </c>
      <c r="H3569" s="840">
        <f t="shared" si="110"/>
        <v>0</v>
      </c>
      <c r="I3569" s="840">
        <f t="shared" si="111"/>
        <v>1042932</v>
      </c>
    </row>
    <row r="3570" spans="1:9" ht="37.5">
      <c r="A3570" s="1078" t="s">
        <v>809</v>
      </c>
      <c r="B3570" s="475" t="s">
        <v>2976</v>
      </c>
      <c r="C3570" s="915">
        <v>7700</v>
      </c>
      <c r="D3570" s="915"/>
      <c r="E3570" s="914">
        <v>7700</v>
      </c>
      <c r="H3570" s="840">
        <f t="shared" si="110"/>
        <v>0</v>
      </c>
      <c r="I3570" s="840">
        <f t="shared" si="111"/>
        <v>15400</v>
      </c>
    </row>
    <row r="3571" spans="1:9" ht="56.25">
      <c r="A3571" s="1079"/>
      <c r="B3571" s="475" t="s">
        <v>2977</v>
      </c>
      <c r="C3571" s="915">
        <v>9300</v>
      </c>
      <c r="D3571" s="915">
        <v>9300</v>
      </c>
      <c r="E3571" s="914"/>
      <c r="H3571" s="840">
        <f t="shared" si="110"/>
        <v>0</v>
      </c>
      <c r="I3571" s="840">
        <f t="shared" si="111"/>
        <v>18600</v>
      </c>
    </row>
    <row r="3572" spans="1:9" hidden="1">
      <c r="A3572" s="1079"/>
      <c r="B3572" s="887"/>
      <c r="C3572" s="916"/>
      <c r="D3572" s="916"/>
      <c r="E3572" s="907"/>
      <c r="H3572" s="840">
        <f t="shared" si="110"/>
        <v>0</v>
      </c>
      <c r="I3572" s="840">
        <f t="shared" si="111"/>
        <v>0</v>
      </c>
    </row>
    <row r="3573" spans="1:9" s="302" customFormat="1" hidden="1">
      <c r="A3573" s="1079"/>
      <c r="B3573" s="887"/>
      <c r="C3573" s="916"/>
      <c r="D3573" s="916"/>
      <c r="E3573" s="907"/>
      <c r="H3573" s="840">
        <f t="shared" si="110"/>
        <v>0</v>
      </c>
      <c r="I3573" s="840">
        <f t="shared" si="111"/>
        <v>0</v>
      </c>
    </row>
    <row r="3574" spans="1:9" s="302" customFormat="1" hidden="1">
      <c r="A3574" s="1079"/>
      <c r="B3574" s="475"/>
      <c r="C3574" s="916"/>
      <c r="D3574" s="916"/>
      <c r="E3574" s="916"/>
      <c r="H3574" s="840">
        <f t="shared" si="110"/>
        <v>0</v>
      </c>
      <c r="I3574" s="840">
        <f t="shared" si="111"/>
        <v>0</v>
      </c>
    </row>
    <row r="3575" spans="1:9" s="302" customFormat="1" hidden="1">
      <c r="A3575" s="1079"/>
      <c r="B3575" s="475"/>
      <c r="C3575" s="916"/>
      <c r="D3575" s="916"/>
      <c r="E3575" s="916"/>
      <c r="H3575" s="840">
        <f t="shared" si="110"/>
        <v>0</v>
      </c>
      <c r="I3575" s="840">
        <f t="shared" si="111"/>
        <v>0</v>
      </c>
    </row>
    <row r="3576" spans="1:9" s="302" customFormat="1" hidden="1">
      <c r="A3576" s="1079"/>
      <c r="B3576" s="475"/>
      <c r="C3576" s="916"/>
      <c r="D3576" s="916"/>
      <c r="E3576" s="916"/>
      <c r="H3576" s="840">
        <f t="shared" si="110"/>
        <v>0</v>
      </c>
      <c r="I3576" s="840">
        <f t="shared" si="111"/>
        <v>0</v>
      </c>
    </row>
    <row r="3577" spans="1:9" s="302" customFormat="1" hidden="1">
      <c r="A3577" s="1079"/>
      <c r="B3577" s="475"/>
      <c r="C3577" s="916"/>
      <c r="D3577" s="916"/>
      <c r="E3577" s="916"/>
      <c r="H3577" s="840">
        <f t="shared" si="110"/>
        <v>0</v>
      </c>
      <c r="I3577" s="840">
        <f t="shared" si="111"/>
        <v>0</v>
      </c>
    </row>
    <row r="3578" spans="1:9" s="302" customFormat="1" hidden="1">
      <c r="A3578" s="1079"/>
      <c r="B3578" s="475"/>
      <c r="C3578" s="916"/>
      <c r="D3578" s="916"/>
      <c r="E3578" s="916"/>
      <c r="H3578" s="840">
        <f t="shared" si="110"/>
        <v>0</v>
      </c>
      <c r="I3578" s="840">
        <f t="shared" si="111"/>
        <v>0</v>
      </c>
    </row>
    <row r="3579" spans="1:9" s="302" customFormat="1" hidden="1">
      <c r="A3579" s="1079"/>
      <c r="B3579" s="475"/>
      <c r="C3579" s="916"/>
      <c r="D3579" s="916"/>
      <c r="E3579" s="916"/>
      <c r="H3579" s="840">
        <f t="shared" si="110"/>
        <v>0</v>
      </c>
      <c r="I3579" s="840">
        <f t="shared" si="111"/>
        <v>0</v>
      </c>
    </row>
    <row r="3580" spans="1:9" s="302" customFormat="1" hidden="1">
      <c r="A3580" s="1079"/>
      <c r="B3580" s="475"/>
      <c r="C3580" s="916"/>
      <c r="D3580" s="916"/>
      <c r="E3580" s="905"/>
      <c r="H3580" s="840">
        <f t="shared" si="110"/>
        <v>0</v>
      </c>
      <c r="I3580" s="840">
        <f t="shared" si="111"/>
        <v>0</v>
      </c>
    </row>
    <row r="3581" spans="1:9" s="302" customFormat="1" hidden="1">
      <c r="A3581" s="1079"/>
      <c r="B3581" s="475"/>
      <c r="C3581" s="916"/>
      <c r="D3581" s="916"/>
      <c r="E3581" s="905"/>
      <c r="H3581" s="840">
        <f t="shared" si="110"/>
        <v>0</v>
      </c>
      <c r="I3581" s="840">
        <f t="shared" si="111"/>
        <v>0</v>
      </c>
    </row>
    <row r="3582" spans="1:9" s="302" customFormat="1" hidden="1">
      <c r="A3582" s="1079"/>
      <c r="B3582" s="475"/>
      <c r="C3582" s="916"/>
      <c r="D3582" s="916"/>
      <c r="E3582" s="905"/>
      <c r="H3582" s="840">
        <f t="shared" si="110"/>
        <v>0</v>
      </c>
      <c r="I3582" s="840">
        <f t="shared" si="111"/>
        <v>0</v>
      </c>
    </row>
    <row r="3583" spans="1:9" s="302" customFormat="1" hidden="1">
      <c r="A3583" s="1079"/>
      <c r="B3583" s="475"/>
      <c r="C3583" s="916"/>
      <c r="D3583" s="916"/>
      <c r="E3583" s="905"/>
      <c r="H3583" s="840">
        <f t="shared" si="110"/>
        <v>0</v>
      </c>
      <c r="I3583" s="840">
        <f t="shared" si="111"/>
        <v>0</v>
      </c>
    </row>
    <row r="3584" spans="1:9" s="302" customFormat="1" hidden="1">
      <c r="A3584" s="1079"/>
      <c r="B3584" s="475"/>
      <c r="C3584" s="916"/>
      <c r="D3584" s="916"/>
      <c r="E3584" s="905"/>
      <c r="H3584" s="840">
        <f t="shared" si="110"/>
        <v>0</v>
      </c>
      <c r="I3584" s="840">
        <f t="shared" si="111"/>
        <v>0</v>
      </c>
    </row>
    <row r="3585" spans="1:9" s="302" customFormat="1" hidden="1">
      <c r="A3585" s="1079"/>
      <c r="B3585" s="475"/>
      <c r="C3585" s="916"/>
      <c r="D3585" s="916"/>
      <c r="E3585" s="905"/>
      <c r="H3585" s="840">
        <f t="shared" si="110"/>
        <v>0</v>
      </c>
      <c r="I3585" s="840">
        <f t="shared" si="111"/>
        <v>0</v>
      </c>
    </row>
    <row r="3586" spans="1:9" s="302" customFormat="1" hidden="1">
      <c r="A3586" s="1079"/>
      <c r="B3586" s="475"/>
      <c r="C3586" s="916"/>
      <c r="D3586" s="916"/>
      <c r="E3586" s="905"/>
      <c r="H3586" s="840">
        <f t="shared" si="110"/>
        <v>0</v>
      </c>
      <c r="I3586" s="840">
        <f t="shared" si="111"/>
        <v>0</v>
      </c>
    </row>
    <row r="3587" spans="1:9" s="845" customFormat="1" hidden="1">
      <c r="A3587" s="1079"/>
      <c r="B3587" s="475"/>
      <c r="C3587" s="916"/>
      <c r="D3587" s="916"/>
      <c r="E3587" s="905"/>
      <c r="F3587" s="302"/>
      <c r="G3587" s="302"/>
      <c r="H3587" s="840">
        <f t="shared" si="110"/>
        <v>0</v>
      </c>
      <c r="I3587" s="840">
        <f t="shared" si="111"/>
        <v>0</v>
      </c>
    </row>
    <row r="3588" spans="1:9" hidden="1">
      <c r="A3588" s="1079"/>
      <c r="B3588" s="475"/>
      <c r="C3588" s="916"/>
      <c r="D3588" s="916"/>
      <c r="E3588" s="905"/>
      <c r="H3588" s="840">
        <f t="shared" si="110"/>
        <v>0</v>
      </c>
      <c r="I3588" s="840">
        <f t="shared" si="111"/>
        <v>0</v>
      </c>
    </row>
    <row r="3589" spans="1:9" hidden="1">
      <c r="A3589" s="1079"/>
      <c r="B3589" s="475"/>
      <c r="C3589" s="916"/>
      <c r="D3589" s="916"/>
      <c r="E3589" s="905"/>
      <c r="H3589" s="840">
        <f t="shared" si="110"/>
        <v>0</v>
      </c>
      <c r="I3589" s="840">
        <f t="shared" si="111"/>
        <v>0</v>
      </c>
    </row>
    <row r="3590" spans="1:9" hidden="1">
      <c r="A3590" s="1079"/>
      <c r="B3590" s="475"/>
      <c r="C3590" s="916"/>
      <c r="D3590" s="916"/>
      <c r="E3590" s="905"/>
      <c r="H3590" s="840">
        <f t="shared" si="110"/>
        <v>0</v>
      </c>
      <c r="I3590" s="840">
        <f t="shared" si="111"/>
        <v>0</v>
      </c>
    </row>
    <row r="3591" spans="1:9" hidden="1">
      <c r="A3591" s="1079"/>
      <c r="B3591" s="475"/>
      <c r="C3591" s="916"/>
      <c r="D3591" s="916"/>
      <c r="E3591" s="905"/>
      <c r="H3591" s="840">
        <f t="shared" si="110"/>
        <v>0</v>
      </c>
      <c r="I3591" s="840">
        <f t="shared" si="111"/>
        <v>0</v>
      </c>
    </row>
    <row r="3592" spans="1:9" hidden="1">
      <c r="A3592" s="1079"/>
      <c r="B3592" s="475"/>
      <c r="C3592" s="916"/>
      <c r="D3592" s="916"/>
      <c r="E3592" s="905"/>
      <c r="H3592" s="840">
        <f t="shared" si="110"/>
        <v>0</v>
      </c>
      <c r="I3592" s="840">
        <f t="shared" si="111"/>
        <v>0</v>
      </c>
    </row>
    <row r="3593" spans="1:9" hidden="1">
      <c r="A3593" s="1079"/>
      <c r="B3593" s="475"/>
      <c r="C3593" s="916"/>
      <c r="D3593" s="916"/>
      <c r="E3593" s="905"/>
      <c r="H3593" s="840">
        <f t="shared" ref="H3593:H3656" si="112">E3593+D3593-C3593</f>
        <v>0</v>
      </c>
      <c r="I3593" s="840">
        <f t="shared" ref="I3593:I3656" si="113">SUM(C3593:E3593)</f>
        <v>0</v>
      </c>
    </row>
    <row r="3594" spans="1:9" hidden="1">
      <c r="A3594" s="1079"/>
      <c r="B3594" s="475"/>
      <c r="C3594" s="916"/>
      <c r="D3594" s="916"/>
      <c r="E3594" s="905"/>
      <c r="H3594" s="840">
        <f t="shared" si="112"/>
        <v>0</v>
      </c>
      <c r="I3594" s="840">
        <f t="shared" si="113"/>
        <v>0</v>
      </c>
    </row>
    <row r="3595" spans="1:9" hidden="1">
      <c r="A3595" s="1079"/>
      <c r="B3595" s="475"/>
      <c r="C3595" s="916"/>
      <c r="D3595" s="916"/>
      <c r="E3595" s="905"/>
      <c r="H3595" s="840">
        <f t="shared" si="112"/>
        <v>0</v>
      </c>
      <c r="I3595" s="840">
        <f t="shared" si="113"/>
        <v>0</v>
      </c>
    </row>
    <row r="3596" spans="1:9" hidden="1">
      <c r="A3596" s="1079"/>
      <c r="B3596" s="475"/>
      <c r="C3596" s="916"/>
      <c r="D3596" s="916"/>
      <c r="E3596" s="905"/>
      <c r="H3596" s="840">
        <f t="shared" si="112"/>
        <v>0</v>
      </c>
      <c r="I3596" s="840">
        <f t="shared" si="113"/>
        <v>0</v>
      </c>
    </row>
    <row r="3597" spans="1:9" hidden="1">
      <c r="A3597" s="1079"/>
      <c r="B3597" s="475"/>
      <c r="C3597" s="916"/>
      <c r="D3597" s="916"/>
      <c r="E3597" s="905"/>
      <c r="H3597" s="840">
        <f t="shared" si="112"/>
        <v>0</v>
      </c>
      <c r="I3597" s="840">
        <f t="shared" si="113"/>
        <v>0</v>
      </c>
    </row>
    <row r="3598" spans="1:9" hidden="1">
      <c r="A3598" s="1079"/>
      <c r="B3598" s="475"/>
      <c r="C3598" s="916"/>
      <c r="D3598" s="916"/>
      <c r="E3598" s="905"/>
      <c r="H3598" s="840">
        <f t="shared" si="112"/>
        <v>0</v>
      </c>
      <c r="I3598" s="840">
        <f t="shared" si="113"/>
        <v>0</v>
      </c>
    </row>
    <row r="3599" spans="1:9" hidden="1">
      <c r="A3599" s="1079"/>
      <c r="B3599" s="475"/>
      <c r="C3599" s="916"/>
      <c r="D3599" s="916"/>
      <c r="E3599" s="905"/>
      <c r="H3599" s="840">
        <f t="shared" si="112"/>
        <v>0</v>
      </c>
      <c r="I3599" s="840">
        <f t="shared" si="113"/>
        <v>0</v>
      </c>
    </row>
    <row r="3600" spans="1:9" hidden="1">
      <c r="A3600" s="1079"/>
      <c r="B3600" s="475"/>
      <c r="C3600" s="916"/>
      <c r="D3600" s="916"/>
      <c r="E3600" s="905"/>
      <c r="H3600" s="840">
        <f t="shared" si="112"/>
        <v>0</v>
      </c>
      <c r="I3600" s="840">
        <f t="shared" si="113"/>
        <v>0</v>
      </c>
    </row>
    <row r="3601" spans="1:9" hidden="1">
      <c r="A3601" s="1079"/>
      <c r="B3601" s="475"/>
      <c r="C3601" s="916"/>
      <c r="D3601" s="916"/>
      <c r="E3601" s="905"/>
      <c r="H3601" s="840">
        <f t="shared" si="112"/>
        <v>0</v>
      </c>
      <c r="I3601" s="840">
        <f t="shared" si="113"/>
        <v>0</v>
      </c>
    </row>
    <row r="3602" spans="1:9" hidden="1">
      <c r="A3602" s="1079"/>
      <c r="B3602" s="475"/>
      <c r="C3602" s="916"/>
      <c r="D3602" s="916"/>
      <c r="E3602" s="905"/>
      <c r="H3602" s="840">
        <f t="shared" si="112"/>
        <v>0</v>
      </c>
      <c r="I3602" s="840">
        <f t="shared" si="113"/>
        <v>0</v>
      </c>
    </row>
    <row r="3603" spans="1:9" hidden="1">
      <c r="A3603" s="1079"/>
      <c r="B3603" s="475"/>
      <c r="C3603" s="916"/>
      <c r="D3603" s="916"/>
      <c r="E3603" s="905"/>
      <c r="H3603" s="840">
        <f t="shared" si="112"/>
        <v>0</v>
      </c>
      <c r="I3603" s="840">
        <f t="shared" si="113"/>
        <v>0</v>
      </c>
    </row>
    <row r="3604" spans="1:9">
      <c r="A3604" s="1148"/>
      <c r="B3604" s="461" t="s">
        <v>253</v>
      </c>
      <c r="C3604" s="945">
        <f>SUM(C3570:C3603)</f>
        <v>17000</v>
      </c>
      <c r="D3604" s="945">
        <f>SUM(D3570:D3603)</f>
        <v>9300</v>
      </c>
      <c r="E3604" s="945">
        <f>SUM(E3570:E3603)</f>
        <v>7700</v>
      </c>
      <c r="H3604" s="840">
        <f t="shared" si="112"/>
        <v>0</v>
      </c>
      <c r="I3604" s="840">
        <f t="shared" si="113"/>
        <v>34000</v>
      </c>
    </row>
    <row r="3605" spans="1:9" ht="56.25">
      <c r="A3605" s="1078" t="s">
        <v>810</v>
      </c>
      <c r="B3605" s="846" t="s">
        <v>2521</v>
      </c>
      <c r="C3605" s="904">
        <v>33189</v>
      </c>
      <c r="D3605" s="904"/>
      <c r="E3605" s="904">
        <v>33189</v>
      </c>
      <c r="H3605" s="840">
        <f t="shared" si="112"/>
        <v>0</v>
      </c>
      <c r="I3605" s="840">
        <f t="shared" si="113"/>
        <v>66378</v>
      </c>
    </row>
    <row r="3606" spans="1:9" ht="56.25">
      <c r="A3606" s="1079"/>
      <c r="B3606" s="475" t="s">
        <v>2978</v>
      </c>
      <c r="C3606" s="914">
        <v>11100</v>
      </c>
      <c r="D3606" s="975"/>
      <c r="E3606" s="975">
        <v>11100</v>
      </c>
      <c r="H3606" s="840">
        <f t="shared" si="112"/>
        <v>0</v>
      </c>
      <c r="I3606" s="840">
        <f t="shared" si="113"/>
        <v>22200</v>
      </c>
    </row>
    <row r="3607" spans="1:9" ht="56.25">
      <c r="A3607" s="1079"/>
      <c r="B3607" s="475" t="s">
        <v>2979</v>
      </c>
      <c r="C3607" s="914">
        <v>7341</v>
      </c>
      <c r="D3607" s="914">
        <v>7341</v>
      </c>
      <c r="E3607" s="914"/>
      <c r="H3607" s="840">
        <f t="shared" si="112"/>
        <v>0</v>
      </c>
      <c r="I3607" s="840">
        <f t="shared" si="113"/>
        <v>14682</v>
      </c>
    </row>
    <row r="3608" spans="1:9" hidden="1">
      <c r="A3608" s="1079"/>
      <c r="B3608" s="887"/>
      <c r="C3608" s="916"/>
      <c r="D3608" s="916"/>
      <c r="E3608" s="907"/>
      <c r="H3608" s="840">
        <f t="shared" si="112"/>
        <v>0</v>
      </c>
      <c r="I3608" s="840">
        <f t="shared" si="113"/>
        <v>0</v>
      </c>
    </row>
    <row r="3609" spans="1:9" hidden="1">
      <c r="A3609" s="1079"/>
      <c r="B3609" s="475"/>
      <c r="C3609" s="916"/>
      <c r="D3609" s="916"/>
      <c r="E3609" s="916"/>
      <c r="H3609" s="840">
        <f t="shared" si="112"/>
        <v>0</v>
      </c>
      <c r="I3609" s="840">
        <f t="shared" si="113"/>
        <v>0</v>
      </c>
    </row>
    <row r="3610" spans="1:9" hidden="1">
      <c r="A3610" s="1079"/>
      <c r="B3610" s="475"/>
      <c r="C3610" s="916"/>
      <c r="D3610" s="916"/>
      <c r="E3610" s="916"/>
      <c r="H3610" s="840">
        <f t="shared" si="112"/>
        <v>0</v>
      </c>
      <c r="I3610" s="840">
        <f t="shared" si="113"/>
        <v>0</v>
      </c>
    </row>
    <row r="3611" spans="1:9" hidden="1">
      <c r="A3611" s="1079"/>
      <c r="B3611" s="475"/>
      <c r="C3611" s="916"/>
      <c r="D3611" s="916"/>
      <c r="E3611" s="916"/>
      <c r="H3611" s="840">
        <f t="shared" si="112"/>
        <v>0</v>
      </c>
      <c r="I3611" s="840">
        <f t="shared" si="113"/>
        <v>0</v>
      </c>
    </row>
    <row r="3612" spans="1:9" hidden="1">
      <c r="A3612" s="1079"/>
      <c r="B3612" s="475"/>
      <c r="C3612" s="916"/>
      <c r="D3612" s="916"/>
      <c r="E3612" s="916"/>
      <c r="H3612" s="840">
        <f t="shared" si="112"/>
        <v>0</v>
      </c>
      <c r="I3612" s="840">
        <f t="shared" si="113"/>
        <v>0</v>
      </c>
    </row>
    <row r="3613" spans="1:9" hidden="1">
      <c r="A3613" s="1079"/>
      <c r="B3613" s="475"/>
      <c r="C3613" s="916"/>
      <c r="D3613" s="916"/>
      <c r="E3613" s="916"/>
      <c r="H3613" s="840">
        <f t="shared" si="112"/>
        <v>0</v>
      </c>
      <c r="I3613" s="840">
        <f t="shared" si="113"/>
        <v>0</v>
      </c>
    </row>
    <row r="3614" spans="1:9" hidden="1">
      <c r="A3614" s="1079"/>
      <c r="B3614" s="475"/>
      <c r="C3614" s="916"/>
      <c r="D3614" s="916"/>
      <c r="E3614" s="916"/>
      <c r="H3614" s="840">
        <f t="shared" si="112"/>
        <v>0</v>
      </c>
      <c r="I3614" s="840">
        <f t="shared" si="113"/>
        <v>0</v>
      </c>
    </row>
    <row r="3615" spans="1:9" hidden="1">
      <c r="A3615" s="1079"/>
      <c r="B3615" s="475"/>
      <c r="C3615" s="916"/>
      <c r="D3615" s="916"/>
      <c r="E3615" s="905"/>
      <c r="H3615" s="840">
        <f t="shared" si="112"/>
        <v>0</v>
      </c>
      <c r="I3615" s="840">
        <f t="shared" si="113"/>
        <v>0</v>
      </c>
    </row>
    <row r="3616" spans="1:9" hidden="1">
      <c r="A3616" s="1079"/>
      <c r="B3616" s="475"/>
      <c r="C3616" s="916"/>
      <c r="D3616" s="916"/>
      <c r="E3616" s="905"/>
      <c r="H3616" s="840">
        <f t="shared" si="112"/>
        <v>0</v>
      </c>
      <c r="I3616" s="840">
        <f t="shared" si="113"/>
        <v>0</v>
      </c>
    </row>
    <row r="3617" spans="1:9" hidden="1">
      <c r="A3617" s="1079"/>
      <c r="B3617" s="475"/>
      <c r="C3617" s="916"/>
      <c r="D3617" s="916"/>
      <c r="E3617" s="905"/>
      <c r="H3617" s="840">
        <f t="shared" si="112"/>
        <v>0</v>
      </c>
      <c r="I3617" s="840">
        <f t="shared" si="113"/>
        <v>0</v>
      </c>
    </row>
    <row r="3618" spans="1:9" hidden="1">
      <c r="A3618" s="1079"/>
      <c r="B3618" s="475"/>
      <c r="C3618" s="916"/>
      <c r="D3618" s="916"/>
      <c r="E3618" s="905"/>
      <c r="H3618" s="840">
        <f t="shared" si="112"/>
        <v>0</v>
      </c>
      <c r="I3618" s="840">
        <f t="shared" si="113"/>
        <v>0</v>
      </c>
    </row>
    <row r="3619" spans="1:9" hidden="1">
      <c r="A3619" s="1079"/>
      <c r="B3619" s="475"/>
      <c r="C3619" s="916"/>
      <c r="D3619" s="916"/>
      <c r="E3619" s="905"/>
      <c r="H3619" s="840">
        <f t="shared" si="112"/>
        <v>0</v>
      </c>
      <c r="I3619" s="840">
        <f t="shared" si="113"/>
        <v>0</v>
      </c>
    </row>
    <row r="3620" spans="1:9" hidden="1">
      <c r="A3620" s="1079"/>
      <c r="B3620" s="475"/>
      <c r="C3620" s="916"/>
      <c r="D3620" s="916"/>
      <c r="E3620" s="905"/>
      <c r="H3620" s="840">
        <f t="shared" si="112"/>
        <v>0</v>
      </c>
      <c r="I3620" s="840">
        <f t="shared" si="113"/>
        <v>0</v>
      </c>
    </row>
    <row r="3621" spans="1:9" hidden="1">
      <c r="A3621" s="1079"/>
      <c r="B3621" s="475"/>
      <c r="C3621" s="916"/>
      <c r="D3621" s="916"/>
      <c r="E3621" s="905"/>
      <c r="H3621" s="840">
        <f t="shared" si="112"/>
        <v>0</v>
      </c>
      <c r="I3621" s="840">
        <f t="shared" si="113"/>
        <v>0</v>
      </c>
    </row>
    <row r="3622" spans="1:9" hidden="1">
      <c r="A3622" s="1079"/>
      <c r="B3622" s="475"/>
      <c r="C3622" s="916"/>
      <c r="D3622" s="916"/>
      <c r="E3622" s="905"/>
      <c r="H3622" s="840">
        <f t="shared" si="112"/>
        <v>0</v>
      </c>
      <c r="I3622" s="840">
        <f t="shared" si="113"/>
        <v>0</v>
      </c>
    </row>
    <row r="3623" spans="1:9" hidden="1">
      <c r="A3623" s="1079"/>
      <c r="B3623" s="475"/>
      <c r="C3623" s="916"/>
      <c r="D3623" s="916"/>
      <c r="E3623" s="905"/>
      <c r="H3623" s="840">
        <f t="shared" si="112"/>
        <v>0</v>
      </c>
      <c r="I3623" s="840">
        <f t="shared" si="113"/>
        <v>0</v>
      </c>
    </row>
    <row r="3624" spans="1:9" hidden="1">
      <c r="A3624" s="1079"/>
      <c r="B3624" s="475"/>
      <c r="C3624" s="916"/>
      <c r="D3624" s="916"/>
      <c r="E3624" s="905"/>
      <c r="H3624" s="840">
        <f t="shared" si="112"/>
        <v>0</v>
      </c>
      <c r="I3624" s="840">
        <f t="shared" si="113"/>
        <v>0</v>
      </c>
    </row>
    <row r="3625" spans="1:9" hidden="1">
      <c r="A3625" s="1079"/>
      <c r="B3625" s="475"/>
      <c r="C3625" s="916"/>
      <c r="D3625" s="916"/>
      <c r="E3625" s="905"/>
      <c r="H3625" s="840">
        <f t="shared" si="112"/>
        <v>0</v>
      </c>
      <c r="I3625" s="840">
        <f t="shared" si="113"/>
        <v>0</v>
      </c>
    </row>
    <row r="3626" spans="1:9" hidden="1">
      <c r="A3626" s="1079"/>
      <c r="B3626" s="475"/>
      <c r="C3626" s="916"/>
      <c r="D3626" s="916"/>
      <c r="E3626" s="905"/>
      <c r="H3626" s="840">
        <f t="shared" si="112"/>
        <v>0</v>
      </c>
      <c r="I3626" s="840">
        <f t="shared" si="113"/>
        <v>0</v>
      </c>
    </row>
    <row r="3627" spans="1:9" hidden="1">
      <c r="A3627" s="1079"/>
      <c r="B3627" s="475"/>
      <c r="C3627" s="916"/>
      <c r="D3627" s="916"/>
      <c r="E3627" s="905"/>
      <c r="H3627" s="840">
        <f t="shared" si="112"/>
        <v>0</v>
      </c>
      <c r="I3627" s="840">
        <f t="shared" si="113"/>
        <v>0</v>
      </c>
    </row>
    <row r="3628" spans="1:9" hidden="1">
      <c r="A3628" s="1079"/>
      <c r="B3628" s="475"/>
      <c r="C3628" s="916"/>
      <c r="D3628" s="916"/>
      <c r="E3628" s="905"/>
      <c r="H3628" s="840">
        <f t="shared" si="112"/>
        <v>0</v>
      </c>
      <c r="I3628" s="840">
        <f t="shared" si="113"/>
        <v>0</v>
      </c>
    </row>
    <row r="3629" spans="1:9" hidden="1">
      <c r="A3629" s="1079"/>
      <c r="B3629" s="475"/>
      <c r="C3629" s="916"/>
      <c r="D3629" s="916"/>
      <c r="E3629" s="905"/>
      <c r="H3629" s="840">
        <f t="shared" si="112"/>
        <v>0</v>
      </c>
      <c r="I3629" s="840">
        <f t="shared" si="113"/>
        <v>0</v>
      </c>
    </row>
    <row r="3630" spans="1:9" hidden="1">
      <c r="A3630" s="1079"/>
      <c r="B3630" s="475"/>
      <c r="C3630" s="916"/>
      <c r="D3630" s="916"/>
      <c r="E3630" s="905"/>
      <c r="H3630" s="840">
        <f t="shared" si="112"/>
        <v>0</v>
      </c>
      <c r="I3630" s="840">
        <f t="shared" si="113"/>
        <v>0</v>
      </c>
    </row>
    <row r="3631" spans="1:9" hidden="1">
      <c r="A3631" s="1079"/>
      <c r="B3631" s="475"/>
      <c r="C3631" s="916"/>
      <c r="D3631" s="916"/>
      <c r="E3631" s="905"/>
      <c r="H3631" s="840">
        <f t="shared" si="112"/>
        <v>0</v>
      </c>
      <c r="I3631" s="840">
        <f t="shared" si="113"/>
        <v>0</v>
      </c>
    </row>
    <row r="3632" spans="1:9" hidden="1">
      <c r="A3632" s="1079"/>
      <c r="B3632" s="475"/>
      <c r="C3632" s="916"/>
      <c r="D3632" s="916"/>
      <c r="E3632" s="905"/>
      <c r="H3632" s="840">
        <f t="shared" si="112"/>
        <v>0</v>
      </c>
      <c r="I3632" s="840">
        <f t="shared" si="113"/>
        <v>0</v>
      </c>
    </row>
    <row r="3633" spans="1:9" hidden="1">
      <c r="A3633" s="1079"/>
      <c r="B3633" s="475"/>
      <c r="C3633" s="916"/>
      <c r="D3633" s="916"/>
      <c r="E3633" s="905"/>
      <c r="H3633" s="840">
        <f t="shared" si="112"/>
        <v>0</v>
      </c>
      <c r="I3633" s="840">
        <f t="shared" si="113"/>
        <v>0</v>
      </c>
    </row>
    <row r="3634" spans="1:9" hidden="1">
      <c r="A3634" s="1079"/>
      <c r="B3634" s="475"/>
      <c r="C3634" s="916"/>
      <c r="D3634" s="916"/>
      <c r="E3634" s="905"/>
      <c r="H3634" s="840">
        <f t="shared" si="112"/>
        <v>0</v>
      </c>
      <c r="I3634" s="840">
        <f t="shared" si="113"/>
        <v>0</v>
      </c>
    </row>
    <row r="3635" spans="1:9" hidden="1">
      <c r="A3635" s="1079"/>
      <c r="B3635" s="475"/>
      <c r="C3635" s="916"/>
      <c r="D3635" s="916"/>
      <c r="E3635" s="905"/>
      <c r="H3635" s="840">
        <f t="shared" si="112"/>
        <v>0</v>
      </c>
      <c r="I3635" s="840">
        <f t="shared" si="113"/>
        <v>0</v>
      </c>
    </row>
    <row r="3636" spans="1:9" hidden="1">
      <c r="A3636" s="1079"/>
      <c r="B3636" s="475"/>
      <c r="C3636" s="916"/>
      <c r="D3636" s="916"/>
      <c r="E3636" s="905"/>
      <c r="H3636" s="840">
        <f t="shared" si="112"/>
        <v>0</v>
      </c>
      <c r="I3636" s="840">
        <f t="shared" si="113"/>
        <v>0</v>
      </c>
    </row>
    <row r="3637" spans="1:9" hidden="1">
      <c r="A3637" s="1079"/>
      <c r="B3637" s="475"/>
      <c r="C3637" s="916"/>
      <c r="D3637" s="916"/>
      <c r="E3637" s="905"/>
      <c r="H3637" s="840">
        <f t="shared" si="112"/>
        <v>0</v>
      </c>
      <c r="I3637" s="840">
        <f t="shared" si="113"/>
        <v>0</v>
      </c>
    </row>
    <row r="3638" spans="1:9" hidden="1">
      <c r="A3638" s="1079"/>
      <c r="B3638" s="475"/>
      <c r="C3638" s="916"/>
      <c r="D3638" s="916"/>
      <c r="E3638" s="905"/>
      <c r="H3638" s="840">
        <f t="shared" si="112"/>
        <v>0</v>
      </c>
      <c r="I3638" s="840">
        <f t="shared" si="113"/>
        <v>0</v>
      </c>
    </row>
    <row r="3639" spans="1:9">
      <c r="A3639" s="1148"/>
      <c r="B3639" s="461" t="s">
        <v>253</v>
      </c>
      <c r="C3639" s="945">
        <f>SUM(C3605:C3638)</f>
        <v>51630</v>
      </c>
      <c r="D3639" s="945">
        <f>SUM(D3605:D3638)</f>
        <v>7341</v>
      </c>
      <c r="E3639" s="945">
        <f>SUM(E3605:E3638)</f>
        <v>44289</v>
      </c>
      <c r="H3639" s="840">
        <f t="shared" si="112"/>
        <v>0</v>
      </c>
      <c r="I3639" s="840">
        <f t="shared" si="113"/>
        <v>103260</v>
      </c>
    </row>
    <row r="3640" spans="1:9" ht="37.5">
      <c r="A3640" s="1078" t="s">
        <v>951</v>
      </c>
      <c r="B3640" s="535" t="s">
        <v>1114</v>
      </c>
      <c r="C3640" s="905">
        <v>100000</v>
      </c>
      <c r="D3640" s="905">
        <v>100000</v>
      </c>
      <c r="E3640" s="905"/>
      <c r="H3640" s="840">
        <f t="shared" si="112"/>
        <v>0</v>
      </c>
      <c r="I3640" s="840">
        <f t="shared" si="113"/>
        <v>200000</v>
      </c>
    </row>
    <row r="3641" spans="1:9" ht="37.5">
      <c r="A3641" s="1079"/>
      <c r="B3641" s="475" t="s">
        <v>1505</v>
      </c>
      <c r="C3641" s="530">
        <v>30000</v>
      </c>
      <c r="D3641" s="530">
        <v>30000</v>
      </c>
      <c r="E3641" s="905"/>
      <c r="H3641" s="840">
        <f t="shared" si="112"/>
        <v>0</v>
      </c>
      <c r="I3641" s="840">
        <f t="shared" si="113"/>
        <v>60000</v>
      </c>
    </row>
    <row r="3642" spans="1:9" ht="37.5">
      <c r="A3642" s="1079"/>
      <c r="B3642" s="475" t="s">
        <v>1506</v>
      </c>
      <c r="C3642" s="905">
        <v>30000</v>
      </c>
      <c r="D3642" s="932">
        <v>30000</v>
      </c>
      <c r="E3642" s="932"/>
      <c r="H3642" s="840">
        <f t="shared" si="112"/>
        <v>0</v>
      </c>
      <c r="I3642" s="840">
        <f t="shared" si="113"/>
        <v>60000</v>
      </c>
    </row>
    <row r="3643" spans="1:9" ht="112.5">
      <c r="A3643" s="1079"/>
      <c r="B3643" s="475" t="s">
        <v>1507</v>
      </c>
      <c r="C3643" s="905">
        <v>30000</v>
      </c>
      <c r="D3643" s="932">
        <f>8000+4396</f>
        <v>12396</v>
      </c>
      <c r="E3643" s="932">
        <f>22000-4396</f>
        <v>17604</v>
      </c>
      <c r="H3643" s="840">
        <f t="shared" si="112"/>
        <v>0</v>
      </c>
      <c r="I3643" s="840">
        <f t="shared" si="113"/>
        <v>60000</v>
      </c>
    </row>
    <row r="3644" spans="1:9" ht="75">
      <c r="A3644" s="1079"/>
      <c r="B3644" s="475" t="s">
        <v>1508</v>
      </c>
      <c r="C3644" s="530">
        <v>50000</v>
      </c>
      <c r="D3644" s="530">
        <v>50000</v>
      </c>
      <c r="E3644" s="905"/>
      <c r="H3644" s="840">
        <f t="shared" si="112"/>
        <v>0</v>
      </c>
      <c r="I3644" s="840">
        <f t="shared" si="113"/>
        <v>100000</v>
      </c>
    </row>
    <row r="3645" spans="1:9" ht="56.25">
      <c r="A3645" s="1079"/>
      <c r="B3645" s="475" t="s">
        <v>1509</v>
      </c>
      <c r="C3645" s="530">
        <v>50000</v>
      </c>
      <c r="D3645" s="530">
        <v>50000</v>
      </c>
      <c r="E3645" s="905"/>
      <c r="H3645" s="840">
        <f t="shared" si="112"/>
        <v>0</v>
      </c>
      <c r="I3645" s="840">
        <f t="shared" si="113"/>
        <v>100000</v>
      </c>
    </row>
    <row r="3646" spans="1:9" ht="56.25">
      <c r="A3646" s="1079"/>
      <c r="B3646" s="475" t="s">
        <v>1510</v>
      </c>
      <c r="C3646" s="530">
        <v>34000</v>
      </c>
      <c r="D3646" s="530"/>
      <c r="E3646" s="530">
        <v>34000</v>
      </c>
      <c r="H3646" s="840">
        <f t="shared" si="112"/>
        <v>0</v>
      </c>
      <c r="I3646" s="840">
        <f t="shared" si="113"/>
        <v>68000</v>
      </c>
    </row>
    <row r="3647" spans="1:9" ht="37.5">
      <c r="A3647" s="1079"/>
      <c r="B3647" s="475" t="s">
        <v>1511</v>
      </c>
      <c r="C3647" s="530">
        <v>12278</v>
      </c>
      <c r="D3647" s="530"/>
      <c r="E3647" s="530">
        <v>12278</v>
      </c>
      <c r="H3647" s="840">
        <f t="shared" si="112"/>
        <v>0</v>
      </c>
      <c r="I3647" s="840">
        <f t="shared" si="113"/>
        <v>24556</v>
      </c>
    </row>
    <row r="3648" spans="1:9" ht="75">
      <c r="A3648" s="1079"/>
      <c r="B3648" s="451" t="s">
        <v>1512</v>
      </c>
      <c r="C3648" s="905">
        <v>50000</v>
      </c>
      <c r="D3648" s="932"/>
      <c r="E3648" s="905">
        <v>50000</v>
      </c>
      <c r="H3648" s="840">
        <f t="shared" si="112"/>
        <v>0</v>
      </c>
      <c r="I3648" s="840">
        <f t="shared" si="113"/>
        <v>100000</v>
      </c>
    </row>
    <row r="3649" spans="1:9" ht="56.25">
      <c r="A3649" s="1079"/>
      <c r="B3649" s="451" t="s">
        <v>1513</v>
      </c>
      <c r="C3649" s="905">
        <v>50000</v>
      </c>
      <c r="D3649" s="932">
        <v>50000</v>
      </c>
      <c r="E3649" s="932"/>
      <c r="H3649" s="840">
        <f t="shared" si="112"/>
        <v>0</v>
      </c>
      <c r="I3649" s="840">
        <f t="shared" si="113"/>
        <v>100000</v>
      </c>
    </row>
    <row r="3650" spans="1:9" ht="56.25">
      <c r="A3650" s="1079"/>
      <c r="B3650" s="475" t="s">
        <v>1514</v>
      </c>
      <c r="C3650" s="905">
        <v>50000</v>
      </c>
      <c r="D3650" s="905">
        <v>50000</v>
      </c>
      <c r="E3650" s="932"/>
      <c r="H3650" s="840">
        <f t="shared" si="112"/>
        <v>0</v>
      </c>
      <c r="I3650" s="840">
        <f t="shared" si="113"/>
        <v>100000</v>
      </c>
    </row>
    <row r="3651" spans="1:9" ht="37.5">
      <c r="A3651" s="1079"/>
      <c r="B3651" s="475" t="s">
        <v>1515</v>
      </c>
      <c r="C3651" s="905">
        <v>15000</v>
      </c>
      <c r="D3651" s="905">
        <v>15000</v>
      </c>
      <c r="E3651" s="932"/>
      <c r="H3651" s="840">
        <f t="shared" si="112"/>
        <v>0</v>
      </c>
      <c r="I3651" s="840">
        <f t="shared" si="113"/>
        <v>30000</v>
      </c>
    </row>
    <row r="3652" spans="1:9" ht="56.25">
      <c r="A3652" s="1079"/>
      <c r="B3652" s="475" t="s">
        <v>1516</v>
      </c>
      <c r="C3652" s="905">
        <v>10000</v>
      </c>
      <c r="D3652" s="905">
        <v>10000</v>
      </c>
      <c r="E3652" s="932"/>
      <c r="H3652" s="840">
        <f t="shared" si="112"/>
        <v>0</v>
      </c>
      <c r="I3652" s="840">
        <f t="shared" si="113"/>
        <v>20000</v>
      </c>
    </row>
    <row r="3653" spans="1:9" ht="56.25">
      <c r="A3653" s="1079"/>
      <c r="B3653" s="475" t="s">
        <v>1517</v>
      </c>
      <c r="C3653" s="905">
        <v>20000</v>
      </c>
      <c r="D3653" s="905">
        <v>20000</v>
      </c>
      <c r="E3653" s="932"/>
      <c r="H3653" s="840">
        <f t="shared" si="112"/>
        <v>0</v>
      </c>
      <c r="I3653" s="840">
        <f t="shared" si="113"/>
        <v>40000</v>
      </c>
    </row>
    <row r="3654" spans="1:9" ht="37.5">
      <c r="A3654" s="1079"/>
      <c r="B3654" s="475" t="s">
        <v>1518</v>
      </c>
      <c r="C3654" s="905">
        <v>10000</v>
      </c>
      <c r="D3654" s="905">
        <v>10000</v>
      </c>
      <c r="E3654" s="932"/>
      <c r="H3654" s="840">
        <f t="shared" si="112"/>
        <v>0</v>
      </c>
      <c r="I3654" s="840">
        <f t="shared" si="113"/>
        <v>20000</v>
      </c>
    </row>
    <row r="3655" spans="1:9" ht="56.25">
      <c r="A3655" s="1079"/>
      <c r="B3655" s="475" t="s">
        <v>1519</v>
      </c>
      <c r="C3655" s="530">
        <v>20000</v>
      </c>
      <c r="D3655" s="530">
        <v>20000</v>
      </c>
      <c r="E3655" s="905"/>
      <c r="H3655" s="840">
        <f t="shared" si="112"/>
        <v>0</v>
      </c>
      <c r="I3655" s="840">
        <f t="shared" si="113"/>
        <v>40000</v>
      </c>
    </row>
    <row r="3656" spans="1:9" ht="56.25">
      <c r="A3656" s="1079"/>
      <c r="B3656" s="475" t="s">
        <v>1520</v>
      </c>
      <c r="C3656" s="905">
        <v>10000</v>
      </c>
      <c r="D3656" s="905">
        <v>10000</v>
      </c>
      <c r="E3656" s="932"/>
      <c r="H3656" s="840">
        <f t="shared" si="112"/>
        <v>0</v>
      </c>
      <c r="I3656" s="840">
        <f t="shared" si="113"/>
        <v>20000</v>
      </c>
    </row>
    <row r="3657" spans="1:9" ht="37.5">
      <c r="A3657" s="1079"/>
      <c r="B3657" s="475" t="s">
        <v>1521</v>
      </c>
      <c r="C3657" s="905">
        <v>10300</v>
      </c>
      <c r="D3657" s="905">
        <v>10300</v>
      </c>
      <c r="E3657" s="932"/>
      <c r="H3657" s="840">
        <f t="shared" ref="H3657:H3720" si="114">E3657+D3657-C3657</f>
        <v>0</v>
      </c>
      <c r="I3657" s="840">
        <f t="shared" ref="I3657:I3720" si="115">SUM(C3657:E3657)</f>
        <v>20600</v>
      </c>
    </row>
    <row r="3658" spans="1:9" ht="37.5">
      <c r="A3658" s="1079"/>
      <c r="B3658" s="475" t="s">
        <v>1522</v>
      </c>
      <c r="C3658" s="905">
        <v>10300</v>
      </c>
      <c r="D3658" s="905">
        <v>10300</v>
      </c>
      <c r="E3658" s="932"/>
      <c r="H3658" s="840">
        <f t="shared" si="114"/>
        <v>0</v>
      </c>
      <c r="I3658" s="840">
        <f t="shared" si="115"/>
        <v>20600</v>
      </c>
    </row>
    <row r="3659" spans="1:9" ht="37.5">
      <c r="A3659" s="1079"/>
      <c r="B3659" s="475" t="s">
        <v>1523</v>
      </c>
      <c r="C3659" s="905">
        <v>10300</v>
      </c>
      <c r="D3659" s="905">
        <v>10300</v>
      </c>
      <c r="E3659" s="905"/>
      <c r="H3659" s="840">
        <f t="shared" si="114"/>
        <v>0</v>
      </c>
      <c r="I3659" s="840">
        <f t="shared" si="115"/>
        <v>20600</v>
      </c>
    </row>
    <row r="3660" spans="1:9">
      <c r="A3660" s="1079"/>
      <c r="B3660" s="475" t="s">
        <v>1524</v>
      </c>
      <c r="C3660" s="905">
        <v>5000</v>
      </c>
      <c r="D3660" s="905">
        <v>5000</v>
      </c>
      <c r="E3660" s="932"/>
      <c r="H3660" s="840">
        <f t="shared" si="114"/>
        <v>0</v>
      </c>
      <c r="I3660" s="840">
        <f t="shared" si="115"/>
        <v>10000</v>
      </c>
    </row>
    <row r="3661" spans="1:9" ht="56.25">
      <c r="A3661" s="1079"/>
      <c r="B3661" s="475" t="s">
        <v>1525</v>
      </c>
      <c r="C3661" s="530">
        <v>100000</v>
      </c>
      <c r="D3661" s="530">
        <v>100000</v>
      </c>
      <c r="E3661" s="905"/>
      <c r="H3661" s="840">
        <f t="shared" si="114"/>
        <v>0</v>
      </c>
      <c r="I3661" s="840">
        <f t="shared" si="115"/>
        <v>200000</v>
      </c>
    </row>
    <row r="3662" spans="1:9" ht="56.25">
      <c r="A3662" s="1079"/>
      <c r="B3662" s="475" t="s">
        <v>1526</v>
      </c>
      <c r="C3662" s="530">
        <v>15000</v>
      </c>
      <c r="D3662" s="530"/>
      <c r="E3662" s="905">
        <v>15000</v>
      </c>
      <c r="H3662" s="840">
        <f t="shared" si="114"/>
        <v>0</v>
      </c>
      <c r="I3662" s="840">
        <f t="shared" si="115"/>
        <v>30000</v>
      </c>
    </row>
    <row r="3663" spans="1:9" ht="37.5">
      <c r="A3663" s="1079"/>
      <c r="B3663" s="475" t="s">
        <v>1527</v>
      </c>
      <c r="C3663" s="530">
        <v>8000</v>
      </c>
      <c r="D3663" s="530">
        <v>8000</v>
      </c>
      <c r="E3663" s="905"/>
      <c r="H3663" s="840">
        <f t="shared" si="114"/>
        <v>0</v>
      </c>
      <c r="I3663" s="840">
        <f t="shared" si="115"/>
        <v>16000</v>
      </c>
    </row>
    <row r="3664" spans="1:9" ht="37.5">
      <c r="A3664" s="1079"/>
      <c r="B3664" s="475" t="s">
        <v>1901</v>
      </c>
      <c r="C3664" s="911">
        <v>30000</v>
      </c>
      <c r="D3664" s="911">
        <v>30000</v>
      </c>
      <c r="E3664" s="911"/>
      <c r="H3664" s="840">
        <f t="shared" si="114"/>
        <v>0</v>
      </c>
      <c r="I3664" s="840">
        <f t="shared" si="115"/>
        <v>60000</v>
      </c>
    </row>
    <row r="3665" spans="1:9" ht="37.5">
      <c r="A3665" s="1079"/>
      <c r="B3665" s="475" t="s">
        <v>1902</v>
      </c>
      <c r="C3665" s="911">
        <v>50000</v>
      </c>
      <c r="D3665" s="911">
        <v>50000</v>
      </c>
      <c r="E3665" s="911"/>
      <c r="H3665" s="840">
        <f t="shared" si="114"/>
        <v>0</v>
      </c>
      <c r="I3665" s="840">
        <f t="shared" si="115"/>
        <v>100000</v>
      </c>
    </row>
    <row r="3666" spans="1:9" ht="37.5">
      <c r="A3666" s="1079"/>
      <c r="B3666" s="475" t="s">
        <v>1903</v>
      </c>
      <c r="C3666" s="911">
        <v>15000</v>
      </c>
      <c r="D3666" s="911">
        <v>15000</v>
      </c>
      <c r="E3666" s="911"/>
      <c r="H3666" s="840">
        <f t="shared" si="114"/>
        <v>0</v>
      </c>
      <c r="I3666" s="840">
        <f t="shared" si="115"/>
        <v>30000</v>
      </c>
    </row>
    <row r="3667" spans="1:9" hidden="1">
      <c r="A3667" s="1079"/>
      <c r="B3667" s="475"/>
      <c r="C3667" s="911"/>
      <c r="D3667" s="911"/>
      <c r="E3667" s="911"/>
      <c r="H3667" s="840">
        <f t="shared" si="114"/>
        <v>0</v>
      </c>
      <c r="I3667" s="840">
        <f t="shared" si="115"/>
        <v>0</v>
      </c>
    </row>
    <row r="3668" spans="1:9" ht="37.5">
      <c r="A3668" s="1079"/>
      <c r="B3668" s="475" t="s">
        <v>1931</v>
      </c>
      <c r="C3668" s="911">
        <v>26000</v>
      </c>
      <c r="D3668" s="911">
        <v>26000</v>
      </c>
      <c r="E3668" s="911"/>
      <c r="H3668" s="840">
        <f t="shared" si="114"/>
        <v>0</v>
      </c>
      <c r="I3668" s="840">
        <f t="shared" si="115"/>
        <v>52000</v>
      </c>
    </row>
    <row r="3669" spans="1:9" ht="56.25">
      <c r="A3669" s="1079"/>
      <c r="B3669" s="475" t="s">
        <v>1932</v>
      </c>
      <c r="C3669" s="911">
        <v>10400</v>
      </c>
      <c r="D3669" s="911">
        <v>10400</v>
      </c>
      <c r="E3669" s="911"/>
      <c r="H3669" s="840">
        <f t="shared" si="114"/>
        <v>0</v>
      </c>
      <c r="I3669" s="840">
        <f t="shared" si="115"/>
        <v>20800</v>
      </c>
    </row>
    <row r="3670" spans="1:9" ht="56.25">
      <c r="A3670" s="1079"/>
      <c r="B3670" s="475" t="s">
        <v>1933</v>
      </c>
      <c r="C3670" s="911">
        <v>6600</v>
      </c>
      <c r="D3670" s="911">
        <v>6600</v>
      </c>
      <c r="E3670" s="911"/>
      <c r="H3670" s="840">
        <f t="shared" si="114"/>
        <v>0</v>
      </c>
      <c r="I3670" s="840">
        <f t="shared" si="115"/>
        <v>13200</v>
      </c>
    </row>
    <row r="3671" spans="1:9" ht="56.25">
      <c r="A3671" s="1079"/>
      <c r="B3671" s="475" t="s">
        <v>1934</v>
      </c>
      <c r="C3671" s="911">
        <v>3000</v>
      </c>
      <c r="D3671" s="911">
        <v>3000</v>
      </c>
      <c r="E3671" s="911"/>
      <c r="H3671" s="840">
        <f t="shared" si="114"/>
        <v>0</v>
      </c>
      <c r="I3671" s="840">
        <f t="shared" si="115"/>
        <v>6000</v>
      </c>
    </row>
    <row r="3672" spans="1:9" ht="37.5">
      <c r="A3672" s="1079"/>
      <c r="B3672" s="475" t="s">
        <v>1935</v>
      </c>
      <c r="C3672" s="911">
        <v>4000</v>
      </c>
      <c r="D3672" s="911">
        <v>4000</v>
      </c>
      <c r="E3672" s="911"/>
      <c r="H3672" s="840">
        <f t="shared" si="114"/>
        <v>0</v>
      </c>
      <c r="I3672" s="840">
        <f t="shared" si="115"/>
        <v>8000</v>
      </c>
    </row>
    <row r="3673" spans="1:9" ht="56.25">
      <c r="A3673" s="1079"/>
      <c r="B3673" s="475" t="s">
        <v>2238</v>
      </c>
      <c r="C3673" s="908">
        <v>50000</v>
      </c>
      <c r="D3673" s="908">
        <v>50000</v>
      </c>
      <c r="E3673" s="905"/>
      <c r="H3673" s="840">
        <f t="shared" si="114"/>
        <v>0</v>
      </c>
      <c r="I3673" s="840">
        <f t="shared" si="115"/>
        <v>100000</v>
      </c>
    </row>
    <row r="3674" spans="1:9" ht="56.25">
      <c r="A3674" s="1079"/>
      <c r="B3674" s="475" t="s">
        <v>2239</v>
      </c>
      <c r="C3674" s="908">
        <v>40000</v>
      </c>
      <c r="D3674" s="908">
        <v>40000</v>
      </c>
      <c r="E3674" s="905"/>
      <c r="H3674" s="840">
        <f t="shared" si="114"/>
        <v>0</v>
      </c>
      <c r="I3674" s="840">
        <f t="shared" si="115"/>
        <v>80000</v>
      </c>
    </row>
    <row r="3675" spans="1:9" ht="37.5">
      <c r="A3675" s="1079"/>
      <c r="B3675" s="475" t="s">
        <v>2240</v>
      </c>
      <c r="C3675" s="908">
        <v>18000</v>
      </c>
      <c r="D3675" s="908">
        <v>18000</v>
      </c>
      <c r="E3675" s="905"/>
      <c r="H3675" s="840">
        <f t="shared" si="114"/>
        <v>0</v>
      </c>
      <c r="I3675" s="840">
        <f t="shared" si="115"/>
        <v>36000</v>
      </c>
    </row>
    <row r="3676" spans="1:9" ht="37.5">
      <c r="A3676" s="1079"/>
      <c r="B3676" s="475" t="s">
        <v>2241</v>
      </c>
      <c r="C3676" s="906">
        <v>10000</v>
      </c>
      <c r="D3676" s="904">
        <v>10000</v>
      </c>
      <c r="E3676" s="904"/>
      <c r="H3676" s="840">
        <f t="shared" si="114"/>
        <v>0</v>
      </c>
      <c r="I3676" s="840">
        <f t="shared" si="115"/>
        <v>20000</v>
      </c>
    </row>
    <row r="3677" spans="1:9" ht="37.5">
      <c r="A3677" s="1079"/>
      <c r="B3677" s="475" t="s">
        <v>2242</v>
      </c>
      <c r="C3677" s="906">
        <v>6000</v>
      </c>
      <c r="D3677" s="904">
        <v>6000</v>
      </c>
      <c r="E3677" s="904"/>
      <c r="H3677" s="840">
        <f t="shared" si="114"/>
        <v>0</v>
      </c>
      <c r="I3677" s="840">
        <f t="shared" si="115"/>
        <v>12000</v>
      </c>
    </row>
    <row r="3678" spans="1:9" ht="37.5">
      <c r="A3678" s="1079"/>
      <c r="B3678" s="475" t="s">
        <v>2243</v>
      </c>
      <c r="C3678" s="906">
        <v>6000</v>
      </c>
      <c r="D3678" s="904">
        <v>6000</v>
      </c>
      <c r="E3678" s="904"/>
      <c r="H3678" s="840">
        <f t="shared" si="114"/>
        <v>0</v>
      </c>
      <c r="I3678" s="840">
        <f t="shared" si="115"/>
        <v>12000</v>
      </c>
    </row>
    <row r="3679" spans="1:9" ht="56.25">
      <c r="A3679" s="1079"/>
      <c r="B3679" s="475" t="s">
        <v>2244</v>
      </c>
      <c r="C3679" s="906">
        <v>20000</v>
      </c>
      <c r="D3679" s="904">
        <v>20000</v>
      </c>
      <c r="E3679" s="904"/>
      <c r="H3679" s="840">
        <f t="shared" si="114"/>
        <v>0</v>
      </c>
      <c r="I3679" s="840">
        <f t="shared" si="115"/>
        <v>40000</v>
      </c>
    </row>
    <row r="3680" spans="1:9" ht="56.25">
      <c r="A3680" s="1079"/>
      <c r="B3680" s="475" t="s">
        <v>2245</v>
      </c>
      <c r="C3680" s="906">
        <v>20000</v>
      </c>
      <c r="D3680" s="904">
        <v>20000</v>
      </c>
      <c r="E3680" s="904"/>
      <c r="H3680" s="840">
        <f t="shared" si="114"/>
        <v>0</v>
      </c>
      <c r="I3680" s="840">
        <f t="shared" si="115"/>
        <v>40000</v>
      </c>
    </row>
    <row r="3681" spans="1:9" ht="56.25">
      <c r="A3681" s="1079"/>
      <c r="B3681" s="475" t="s">
        <v>2246</v>
      </c>
      <c r="C3681" s="906">
        <v>25000</v>
      </c>
      <c r="D3681" s="904">
        <v>25000</v>
      </c>
      <c r="E3681" s="904"/>
      <c r="H3681" s="840">
        <f t="shared" si="114"/>
        <v>0</v>
      </c>
      <c r="I3681" s="840">
        <f t="shared" si="115"/>
        <v>50000</v>
      </c>
    </row>
    <row r="3682" spans="1:9" ht="131.25">
      <c r="A3682" s="1079"/>
      <c r="B3682" s="475" t="s">
        <v>2522</v>
      </c>
      <c r="C3682" s="911">
        <v>205000</v>
      </c>
      <c r="D3682" s="911"/>
      <c r="E3682" s="911">
        <v>205000</v>
      </c>
      <c r="H3682" s="840">
        <f t="shared" si="114"/>
        <v>0</v>
      </c>
      <c r="I3682" s="840">
        <f t="shared" si="115"/>
        <v>410000</v>
      </c>
    </row>
    <row r="3683" spans="1:9" ht="112.5">
      <c r="A3683" s="1079"/>
      <c r="B3683" s="475" t="s">
        <v>2523</v>
      </c>
      <c r="C3683" s="911">
        <v>345000</v>
      </c>
      <c r="D3683" s="911"/>
      <c r="E3683" s="911">
        <v>345000</v>
      </c>
      <c r="H3683" s="840">
        <f t="shared" si="114"/>
        <v>0</v>
      </c>
      <c r="I3683" s="840">
        <f t="shared" si="115"/>
        <v>690000</v>
      </c>
    </row>
    <row r="3684" spans="1:9" ht="37.5">
      <c r="A3684" s="1079"/>
      <c r="B3684" s="475" t="s">
        <v>2629</v>
      </c>
      <c r="C3684" s="905">
        <v>16000</v>
      </c>
      <c r="D3684" s="905"/>
      <c r="E3684" s="905">
        <v>16000</v>
      </c>
      <c r="H3684" s="840">
        <f t="shared" si="114"/>
        <v>0</v>
      </c>
      <c r="I3684" s="840">
        <f t="shared" si="115"/>
        <v>32000</v>
      </c>
    </row>
    <row r="3685" spans="1:9" ht="75">
      <c r="A3685" s="1079"/>
      <c r="B3685" s="475" t="s">
        <v>2630</v>
      </c>
      <c r="C3685" s="905">
        <v>34000</v>
      </c>
      <c r="D3685" s="905">
        <v>34000</v>
      </c>
      <c r="E3685" s="905"/>
      <c r="H3685" s="840">
        <f t="shared" si="114"/>
        <v>0</v>
      </c>
      <c r="I3685" s="840">
        <f t="shared" si="115"/>
        <v>68000</v>
      </c>
    </row>
    <row r="3686" spans="1:9" ht="37.5">
      <c r="A3686" s="1079"/>
      <c r="B3686" s="475" t="s">
        <v>2980</v>
      </c>
      <c r="C3686" s="908">
        <v>5000</v>
      </c>
      <c r="D3686" s="908">
        <v>5000</v>
      </c>
      <c r="E3686" s="905"/>
      <c r="H3686" s="840">
        <f t="shared" si="114"/>
        <v>0</v>
      </c>
      <c r="I3686" s="840">
        <f t="shared" si="115"/>
        <v>10000</v>
      </c>
    </row>
    <row r="3687" spans="1:9" ht="56.25">
      <c r="A3687" s="1079"/>
      <c r="B3687" s="475" t="s">
        <v>2981</v>
      </c>
      <c r="C3687" s="908">
        <v>15000</v>
      </c>
      <c r="D3687" s="908">
        <v>15000</v>
      </c>
      <c r="E3687" s="905"/>
      <c r="H3687" s="840">
        <f t="shared" si="114"/>
        <v>0</v>
      </c>
      <c r="I3687" s="840">
        <f t="shared" si="115"/>
        <v>30000</v>
      </c>
    </row>
    <row r="3688" spans="1:9" ht="56.25">
      <c r="A3688" s="1079"/>
      <c r="B3688" s="475" t="s">
        <v>2982</v>
      </c>
      <c r="C3688" s="908">
        <v>16000</v>
      </c>
      <c r="D3688" s="908">
        <v>16000</v>
      </c>
      <c r="E3688" s="905"/>
      <c r="H3688" s="840">
        <f t="shared" si="114"/>
        <v>0</v>
      </c>
      <c r="I3688" s="840">
        <f t="shared" si="115"/>
        <v>32000</v>
      </c>
    </row>
    <row r="3689" spans="1:9" ht="56.25">
      <c r="A3689" s="1079"/>
      <c r="B3689" s="475" t="s">
        <v>2983</v>
      </c>
      <c r="C3689" s="908">
        <v>76441</v>
      </c>
      <c r="D3689" s="908"/>
      <c r="E3689" s="905">
        <v>76441</v>
      </c>
      <c r="H3689" s="840">
        <f t="shared" si="114"/>
        <v>0</v>
      </c>
      <c r="I3689" s="840">
        <f t="shared" si="115"/>
        <v>152882</v>
      </c>
    </row>
    <row r="3690" spans="1:9" ht="56.25">
      <c r="A3690" s="1079"/>
      <c r="B3690" s="475" t="s">
        <v>2984</v>
      </c>
      <c r="C3690" s="908">
        <v>40000</v>
      </c>
      <c r="D3690" s="908"/>
      <c r="E3690" s="905">
        <v>40000</v>
      </c>
      <c r="H3690" s="840">
        <f t="shared" si="114"/>
        <v>0</v>
      </c>
      <c r="I3690" s="840">
        <f t="shared" si="115"/>
        <v>80000</v>
      </c>
    </row>
    <row r="3691" spans="1:9" ht="56.25">
      <c r="A3691" s="1079"/>
      <c r="B3691" s="475" t="s">
        <v>2985</v>
      </c>
      <c r="C3691" s="908">
        <v>18000</v>
      </c>
      <c r="D3691" s="908">
        <v>18000</v>
      </c>
      <c r="E3691" s="905"/>
      <c r="H3691" s="840">
        <f t="shared" si="114"/>
        <v>0</v>
      </c>
      <c r="I3691" s="840">
        <f t="shared" si="115"/>
        <v>36000</v>
      </c>
    </row>
    <row r="3692" spans="1:9" ht="56.25">
      <c r="A3692" s="1079"/>
      <c r="B3692" s="475" t="s">
        <v>2986</v>
      </c>
      <c r="C3692" s="908">
        <v>70000</v>
      </c>
      <c r="D3692" s="908">
        <v>70000</v>
      </c>
      <c r="E3692" s="905"/>
      <c r="H3692" s="840">
        <f t="shared" si="114"/>
        <v>0</v>
      </c>
      <c r="I3692" s="840">
        <f t="shared" si="115"/>
        <v>140000</v>
      </c>
    </row>
    <row r="3693" spans="1:9" ht="56.25">
      <c r="A3693" s="1079"/>
      <c r="B3693" s="475" t="s">
        <v>2987</v>
      </c>
      <c r="C3693" s="908">
        <v>5000</v>
      </c>
      <c r="D3693" s="908">
        <v>5000</v>
      </c>
      <c r="E3693" s="905"/>
      <c r="H3693" s="840">
        <f t="shared" si="114"/>
        <v>0</v>
      </c>
      <c r="I3693" s="840">
        <f t="shared" si="115"/>
        <v>10000</v>
      </c>
    </row>
    <row r="3694" spans="1:9" ht="75">
      <c r="A3694" s="1079"/>
      <c r="B3694" s="475" t="s">
        <v>2988</v>
      </c>
      <c r="C3694" s="908">
        <v>2000</v>
      </c>
      <c r="D3694" s="908">
        <v>2000</v>
      </c>
      <c r="E3694" s="905"/>
      <c r="H3694" s="840">
        <f t="shared" si="114"/>
        <v>0</v>
      </c>
      <c r="I3694" s="840">
        <f t="shared" si="115"/>
        <v>4000</v>
      </c>
    </row>
    <row r="3695" spans="1:9" ht="56.25">
      <c r="A3695" s="1079"/>
      <c r="B3695" s="475" t="s">
        <v>2983</v>
      </c>
      <c r="C3695" s="908">
        <v>12441</v>
      </c>
      <c r="D3695" s="908"/>
      <c r="E3695" s="905">
        <v>12441</v>
      </c>
      <c r="H3695" s="840">
        <f t="shared" si="114"/>
        <v>0</v>
      </c>
      <c r="I3695" s="840">
        <f t="shared" si="115"/>
        <v>24882</v>
      </c>
    </row>
    <row r="3696" spans="1:9" ht="37.5">
      <c r="A3696" s="1079"/>
      <c r="B3696" s="475" t="s">
        <v>2989</v>
      </c>
      <c r="C3696" s="908">
        <v>17200</v>
      </c>
      <c r="D3696" s="908">
        <v>17200</v>
      </c>
      <c r="E3696" s="905"/>
      <c r="H3696" s="840">
        <f t="shared" si="114"/>
        <v>0</v>
      </c>
      <c r="I3696" s="840">
        <f t="shared" si="115"/>
        <v>34400</v>
      </c>
    </row>
    <row r="3697" spans="1:9" ht="56.25">
      <c r="A3697" s="1079"/>
      <c r="B3697" s="475" t="s">
        <v>2990</v>
      </c>
      <c r="C3697" s="905">
        <v>12800</v>
      </c>
      <c r="D3697" s="905">
        <v>12800</v>
      </c>
      <c r="E3697" s="905"/>
      <c r="H3697" s="840">
        <f t="shared" si="114"/>
        <v>0</v>
      </c>
      <c r="I3697" s="840">
        <f t="shared" si="115"/>
        <v>25600</v>
      </c>
    </row>
    <row r="3698" spans="1:9" hidden="1">
      <c r="A3698" s="1079"/>
      <c r="B3698" s="475"/>
      <c r="C3698" s="905"/>
      <c r="D3698" s="905"/>
      <c r="E3698" s="905"/>
      <c r="H3698" s="840">
        <f t="shared" si="114"/>
        <v>0</v>
      </c>
      <c r="I3698" s="840">
        <f t="shared" si="115"/>
        <v>0</v>
      </c>
    </row>
    <row r="3699" spans="1:9" hidden="1">
      <c r="A3699" s="1079"/>
      <c r="B3699" s="475"/>
      <c r="C3699" s="905"/>
      <c r="D3699" s="905"/>
      <c r="E3699" s="905"/>
      <c r="H3699" s="840">
        <f t="shared" si="114"/>
        <v>0</v>
      </c>
      <c r="I3699" s="840">
        <f t="shared" si="115"/>
        <v>0</v>
      </c>
    </row>
    <row r="3700" spans="1:9" hidden="1">
      <c r="A3700" s="1079"/>
      <c r="B3700" s="475"/>
      <c r="C3700" s="905"/>
      <c r="D3700" s="905"/>
      <c r="E3700" s="905"/>
      <c r="H3700" s="840">
        <f t="shared" si="114"/>
        <v>0</v>
      </c>
      <c r="I3700" s="840">
        <f t="shared" si="115"/>
        <v>0</v>
      </c>
    </row>
    <row r="3701" spans="1:9" hidden="1">
      <c r="A3701" s="1079"/>
      <c r="B3701" s="475"/>
      <c r="C3701" s="911"/>
      <c r="D3701" s="911"/>
      <c r="E3701" s="911"/>
      <c r="H3701" s="840">
        <f t="shared" si="114"/>
        <v>0</v>
      </c>
      <c r="I3701" s="840">
        <f t="shared" si="115"/>
        <v>0</v>
      </c>
    </row>
    <row r="3702" spans="1:9" hidden="1">
      <c r="A3702" s="1079"/>
      <c r="B3702" s="475"/>
      <c r="C3702" s="911"/>
      <c r="D3702" s="911"/>
      <c r="E3702" s="911"/>
      <c r="H3702" s="840">
        <f t="shared" si="114"/>
        <v>0</v>
      </c>
      <c r="I3702" s="840">
        <f t="shared" si="115"/>
        <v>0</v>
      </c>
    </row>
    <row r="3703" spans="1:9" hidden="1">
      <c r="A3703" s="1079"/>
      <c r="B3703" s="475"/>
      <c r="C3703" s="911"/>
      <c r="D3703" s="911"/>
      <c r="E3703" s="911"/>
      <c r="H3703" s="840">
        <f t="shared" si="114"/>
        <v>0</v>
      </c>
      <c r="I3703" s="840">
        <f t="shared" si="115"/>
        <v>0</v>
      </c>
    </row>
    <row r="3704" spans="1:9" hidden="1">
      <c r="A3704" s="1079"/>
      <c r="B3704" s="475"/>
      <c r="C3704" s="911"/>
      <c r="D3704" s="911"/>
      <c r="E3704" s="911"/>
      <c r="H3704" s="840">
        <f t="shared" si="114"/>
        <v>0</v>
      </c>
      <c r="I3704" s="840">
        <f t="shared" si="115"/>
        <v>0</v>
      </c>
    </row>
    <row r="3705" spans="1:9" hidden="1">
      <c r="A3705" s="1079"/>
      <c r="B3705" s="475"/>
      <c r="C3705" s="911"/>
      <c r="D3705" s="911"/>
      <c r="E3705" s="911"/>
      <c r="H3705" s="840">
        <f t="shared" si="114"/>
        <v>0</v>
      </c>
      <c r="I3705" s="840">
        <f t="shared" si="115"/>
        <v>0</v>
      </c>
    </row>
    <row r="3706" spans="1:9" hidden="1">
      <c r="A3706" s="1079"/>
      <c r="B3706" s="475"/>
      <c r="C3706" s="916"/>
      <c r="D3706" s="916"/>
      <c r="E3706" s="905"/>
      <c r="H3706" s="840">
        <f t="shared" si="114"/>
        <v>0</v>
      </c>
      <c r="I3706" s="840">
        <f t="shared" si="115"/>
        <v>0</v>
      </c>
    </row>
    <row r="3707" spans="1:9">
      <c r="A3707" s="1148"/>
      <c r="B3707" s="461" t="s">
        <v>253</v>
      </c>
      <c r="C3707" s="919">
        <f>SUM(C3640:C3706)</f>
        <v>1960060</v>
      </c>
      <c r="D3707" s="919">
        <f>SUM(D3640:D3706)</f>
        <v>1136296</v>
      </c>
      <c r="E3707" s="919">
        <f>SUM(E3640:E3706)</f>
        <v>823764</v>
      </c>
      <c r="H3707" s="840">
        <f t="shared" si="114"/>
        <v>0</v>
      </c>
      <c r="I3707" s="840">
        <f t="shared" si="115"/>
        <v>3920120</v>
      </c>
    </row>
    <row r="3708" spans="1:9" ht="56.25">
      <c r="A3708" s="1078" t="s">
        <v>321</v>
      </c>
      <c r="B3708" s="475" t="s">
        <v>950</v>
      </c>
      <c r="C3708" s="932">
        <v>180000</v>
      </c>
      <c r="D3708" s="932"/>
      <c r="E3708" s="932">
        <v>180000</v>
      </c>
      <c r="H3708" s="840">
        <f t="shared" si="114"/>
        <v>0</v>
      </c>
      <c r="I3708" s="840">
        <f t="shared" si="115"/>
        <v>360000</v>
      </c>
    </row>
    <row r="3709" spans="1:9" ht="75">
      <c r="A3709" s="1079"/>
      <c r="B3709" s="535" t="s">
        <v>1115</v>
      </c>
      <c r="C3709" s="905">
        <v>50000</v>
      </c>
      <c r="D3709" s="905">
        <v>50000</v>
      </c>
      <c r="E3709" s="905"/>
      <c r="H3709" s="840">
        <f t="shared" si="114"/>
        <v>0</v>
      </c>
      <c r="I3709" s="840">
        <f t="shared" si="115"/>
        <v>100000</v>
      </c>
    </row>
    <row r="3710" spans="1:9">
      <c r="A3710" s="1079"/>
      <c r="B3710" s="475" t="s">
        <v>1904</v>
      </c>
      <c r="C3710" s="911">
        <v>15000</v>
      </c>
      <c r="D3710" s="911">
        <v>15000</v>
      </c>
      <c r="E3710" s="911"/>
      <c r="H3710" s="840">
        <f t="shared" si="114"/>
        <v>0</v>
      </c>
      <c r="I3710" s="840">
        <f t="shared" si="115"/>
        <v>30000</v>
      </c>
    </row>
    <row r="3711" spans="1:9" ht="56.25">
      <c r="A3711" s="1079"/>
      <c r="B3711" s="475" t="s">
        <v>1528</v>
      </c>
      <c r="C3711" s="905">
        <v>15000</v>
      </c>
      <c r="D3711" s="932" t="s">
        <v>475</v>
      </c>
      <c r="E3711" s="932">
        <v>15000</v>
      </c>
      <c r="H3711" s="840" t="e">
        <f t="shared" si="114"/>
        <v>#VALUE!</v>
      </c>
      <c r="I3711" s="840">
        <f t="shared" si="115"/>
        <v>30000</v>
      </c>
    </row>
    <row r="3712" spans="1:9" ht="56.25">
      <c r="A3712" s="1079"/>
      <c r="B3712" s="475" t="s">
        <v>1529</v>
      </c>
      <c r="C3712" s="905">
        <v>23278</v>
      </c>
      <c r="D3712" s="905">
        <v>23278</v>
      </c>
      <c r="E3712" s="932"/>
      <c r="H3712" s="840">
        <f t="shared" si="114"/>
        <v>0</v>
      </c>
      <c r="I3712" s="840">
        <f t="shared" si="115"/>
        <v>46556</v>
      </c>
    </row>
    <row r="3713" spans="1:9" ht="75">
      <c r="A3713" s="1079"/>
      <c r="B3713" s="475" t="s">
        <v>1530</v>
      </c>
      <c r="C3713" s="905">
        <v>30000</v>
      </c>
      <c r="D3713" s="932">
        <v>30000</v>
      </c>
      <c r="E3713" s="932"/>
      <c r="H3713" s="840">
        <f t="shared" si="114"/>
        <v>0</v>
      </c>
      <c r="I3713" s="840">
        <f t="shared" si="115"/>
        <v>60000</v>
      </c>
    </row>
    <row r="3714" spans="1:9" ht="75">
      <c r="A3714" s="1079"/>
      <c r="B3714" s="475" t="s">
        <v>1531</v>
      </c>
      <c r="C3714" s="905">
        <v>30000</v>
      </c>
      <c r="D3714" s="932">
        <v>30000</v>
      </c>
      <c r="E3714" s="932"/>
      <c r="H3714" s="840">
        <f t="shared" si="114"/>
        <v>0</v>
      </c>
      <c r="I3714" s="840">
        <f t="shared" si="115"/>
        <v>60000</v>
      </c>
    </row>
    <row r="3715" spans="1:9" ht="75">
      <c r="A3715" s="1079"/>
      <c r="B3715" s="475" t="s">
        <v>1532</v>
      </c>
      <c r="C3715" s="905">
        <v>30000</v>
      </c>
      <c r="D3715" s="932">
        <v>30000</v>
      </c>
      <c r="E3715" s="932"/>
      <c r="H3715" s="840">
        <f t="shared" si="114"/>
        <v>0</v>
      </c>
      <c r="I3715" s="840">
        <f t="shared" si="115"/>
        <v>60000</v>
      </c>
    </row>
    <row r="3716" spans="1:9" ht="56.25">
      <c r="A3716" s="1079"/>
      <c r="B3716" s="475" t="s">
        <v>1533</v>
      </c>
      <c r="C3716" s="530">
        <v>4700</v>
      </c>
      <c r="D3716" s="530">
        <v>4700</v>
      </c>
      <c r="E3716" s="905"/>
      <c r="H3716" s="840">
        <f t="shared" si="114"/>
        <v>0</v>
      </c>
      <c r="I3716" s="840">
        <f t="shared" si="115"/>
        <v>9400</v>
      </c>
    </row>
    <row r="3717" spans="1:9" ht="37.5">
      <c r="A3717" s="1079"/>
      <c r="B3717" s="475" t="s">
        <v>1534</v>
      </c>
      <c r="C3717" s="530">
        <v>7000</v>
      </c>
      <c r="D3717" s="530"/>
      <c r="E3717" s="905">
        <v>7000</v>
      </c>
      <c r="H3717" s="840">
        <f t="shared" si="114"/>
        <v>0</v>
      </c>
      <c r="I3717" s="840">
        <f t="shared" si="115"/>
        <v>14000</v>
      </c>
    </row>
    <row r="3718" spans="1:9" ht="37.5">
      <c r="A3718" s="1079"/>
      <c r="B3718" s="475" t="s">
        <v>1535</v>
      </c>
      <c r="C3718" s="530">
        <v>2000</v>
      </c>
      <c r="D3718" s="530">
        <v>2000</v>
      </c>
      <c r="E3718" s="905"/>
      <c r="H3718" s="840">
        <f t="shared" si="114"/>
        <v>0</v>
      </c>
      <c r="I3718" s="840">
        <f t="shared" si="115"/>
        <v>4000</v>
      </c>
    </row>
    <row r="3719" spans="1:9" ht="75">
      <c r="A3719" s="1079"/>
      <c r="B3719" s="475" t="s">
        <v>1536</v>
      </c>
      <c r="C3719" s="530">
        <v>10000</v>
      </c>
      <c r="D3719" s="530">
        <v>10000</v>
      </c>
      <c r="E3719" s="905"/>
      <c r="H3719" s="840">
        <f t="shared" si="114"/>
        <v>0</v>
      </c>
      <c r="I3719" s="840">
        <f t="shared" si="115"/>
        <v>20000</v>
      </c>
    </row>
    <row r="3720" spans="1:9" ht="75">
      <c r="A3720" s="1079"/>
      <c r="B3720" s="475" t="s">
        <v>1537</v>
      </c>
      <c r="C3720" s="530">
        <v>20000</v>
      </c>
      <c r="D3720" s="530"/>
      <c r="E3720" s="905">
        <v>20000</v>
      </c>
      <c r="H3720" s="840">
        <f t="shared" si="114"/>
        <v>0</v>
      </c>
      <c r="I3720" s="840">
        <f t="shared" si="115"/>
        <v>40000</v>
      </c>
    </row>
    <row r="3721" spans="1:9" ht="75">
      <c r="A3721" s="1079"/>
      <c r="B3721" s="475" t="s">
        <v>1538</v>
      </c>
      <c r="C3721" s="905">
        <v>30378</v>
      </c>
      <c r="D3721" s="932">
        <v>12478</v>
      </c>
      <c r="E3721" s="932">
        <v>17900</v>
      </c>
      <c r="H3721" s="840">
        <f t="shared" ref="H3721:H3784" si="116">E3721+D3721-C3721</f>
        <v>0</v>
      </c>
      <c r="I3721" s="840">
        <f t="shared" ref="I3721:I3784" si="117">SUM(C3721:E3721)</f>
        <v>60756</v>
      </c>
    </row>
    <row r="3722" spans="1:9" ht="75">
      <c r="A3722" s="1079"/>
      <c r="B3722" s="475" t="s">
        <v>1539</v>
      </c>
      <c r="C3722" s="905">
        <v>15000</v>
      </c>
      <c r="D3722" s="932">
        <v>15000</v>
      </c>
      <c r="E3722" s="932"/>
      <c r="H3722" s="840">
        <f t="shared" si="116"/>
        <v>0</v>
      </c>
      <c r="I3722" s="840">
        <f t="shared" si="117"/>
        <v>30000</v>
      </c>
    </row>
    <row r="3723" spans="1:9" ht="75">
      <c r="A3723" s="1079"/>
      <c r="B3723" s="475" t="s">
        <v>3176</v>
      </c>
      <c r="C3723" s="530">
        <v>5000</v>
      </c>
      <c r="D3723" s="530">
        <v>5000</v>
      </c>
      <c r="E3723" s="530">
        <f>5000-5000</f>
        <v>0</v>
      </c>
      <c r="H3723" s="840">
        <f t="shared" si="116"/>
        <v>0</v>
      </c>
      <c r="I3723" s="840">
        <f t="shared" si="117"/>
        <v>10000</v>
      </c>
    </row>
    <row r="3724" spans="1:9" ht="37.5">
      <c r="A3724" s="1079"/>
      <c r="B3724" s="475" t="s">
        <v>1540</v>
      </c>
      <c r="C3724" s="530">
        <v>6000</v>
      </c>
      <c r="D3724" s="530"/>
      <c r="E3724" s="530">
        <v>6000</v>
      </c>
      <c r="H3724" s="840">
        <f t="shared" si="116"/>
        <v>0</v>
      </c>
      <c r="I3724" s="840">
        <f t="shared" si="117"/>
        <v>12000</v>
      </c>
    </row>
    <row r="3725" spans="1:9" ht="75">
      <c r="A3725" s="1079"/>
      <c r="B3725" s="475" t="s">
        <v>1541</v>
      </c>
      <c r="C3725" s="530">
        <v>10000</v>
      </c>
      <c r="D3725" s="530"/>
      <c r="E3725" s="905">
        <v>10000</v>
      </c>
      <c r="H3725" s="840">
        <f t="shared" si="116"/>
        <v>0</v>
      </c>
      <c r="I3725" s="840">
        <f t="shared" si="117"/>
        <v>20000</v>
      </c>
    </row>
    <row r="3726" spans="1:9" ht="93.75">
      <c r="A3726" s="1079"/>
      <c r="B3726" s="475" t="s">
        <v>1542</v>
      </c>
      <c r="C3726" s="530">
        <v>10000</v>
      </c>
      <c r="D3726" s="530">
        <v>10000</v>
      </c>
      <c r="E3726" s="905"/>
      <c r="H3726" s="840">
        <f t="shared" si="116"/>
        <v>0</v>
      </c>
      <c r="I3726" s="840">
        <f t="shared" si="117"/>
        <v>20000</v>
      </c>
    </row>
    <row r="3727" spans="1:9" ht="56.25">
      <c r="A3727" s="1079"/>
      <c r="B3727" s="475" t="s">
        <v>1543</v>
      </c>
      <c r="C3727" s="530">
        <v>8000</v>
      </c>
      <c r="D3727" s="530">
        <v>8000</v>
      </c>
      <c r="E3727" s="905"/>
      <c r="H3727" s="840">
        <f t="shared" si="116"/>
        <v>0</v>
      </c>
      <c r="I3727" s="840">
        <f t="shared" si="117"/>
        <v>16000</v>
      </c>
    </row>
    <row r="3728" spans="1:9" ht="56.25">
      <c r="A3728" s="1079"/>
      <c r="B3728" s="475" t="s">
        <v>1544</v>
      </c>
      <c r="C3728" s="530">
        <v>10000</v>
      </c>
      <c r="D3728" s="530">
        <v>10000</v>
      </c>
      <c r="E3728" s="905"/>
      <c r="H3728" s="840">
        <f t="shared" si="116"/>
        <v>0</v>
      </c>
      <c r="I3728" s="840">
        <f t="shared" si="117"/>
        <v>20000</v>
      </c>
    </row>
    <row r="3729" spans="1:9" ht="93.75">
      <c r="A3729" s="1079"/>
      <c r="B3729" s="475" t="s">
        <v>1545</v>
      </c>
      <c r="C3729" s="530">
        <v>15000</v>
      </c>
      <c r="D3729" s="530"/>
      <c r="E3729" s="905">
        <v>15000</v>
      </c>
      <c r="H3729" s="840">
        <f t="shared" si="116"/>
        <v>0</v>
      </c>
      <c r="I3729" s="840">
        <f t="shared" si="117"/>
        <v>30000</v>
      </c>
    </row>
    <row r="3730" spans="1:9" ht="56.25">
      <c r="A3730" s="1079"/>
      <c r="B3730" s="475" t="s">
        <v>1546</v>
      </c>
      <c r="C3730" s="530">
        <v>10000</v>
      </c>
      <c r="D3730" s="530">
        <v>10000</v>
      </c>
      <c r="E3730" s="905"/>
      <c r="H3730" s="840">
        <f t="shared" si="116"/>
        <v>0</v>
      </c>
      <c r="I3730" s="840">
        <f t="shared" si="117"/>
        <v>20000</v>
      </c>
    </row>
    <row r="3731" spans="1:9" ht="93.75">
      <c r="A3731" s="1079"/>
      <c r="B3731" s="475" t="s">
        <v>1547</v>
      </c>
      <c r="C3731" s="530">
        <v>10000</v>
      </c>
      <c r="D3731" s="530">
        <v>10000</v>
      </c>
      <c r="E3731" s="905"/>
      <c r="H3731" s="840">
        <f t="shared" si="116"/>
        <v>0</v>
      </c>
      <c r="I3731" s="840">
        <f t="shared" si="117"/>
        <v>20000</v>
      </c>
    </row>
    <row r="3732" spans="1:9" ht="75">
      <c r="A3732" s="1079"/>
      <c r="B3732" s="475" t="s">
        <v>1548</v>
      </c>
      <c r="C3732" s="530">
        <v>20000</v>
      </c>
      <c r="D3732" s="530">
        <v>20000</v>
      </c>
      <c r="E3732" s="905"/>
      <c r="H3732" s="840">
        <f t="shared" si="116"/>
        <v>0</v>
      </c>
      <c r="I3732" s="840">
        <f t="shared" si="117"/>
        <v>40000</v>
      </c>
    </row>
    <row r="3733" spans="1:9" ht="75">
      <c r="A3733" s="1079"/>
      <c r="B3733" s="475" t="s">
        <v>1549</v>
      </c>
      <c r="C3733" s="530">
        <v>15000</v>
      </c>
      <c r="D3733" s="530"/>
      <c r="E3733" s="905">
        <v>15000</v>
      </c>
      <c r="H3733" s="840">
        <f t="shared" si="116"/>
        <v>0</v>
      </c>
      <c r="I3733" s="840">
        <f t="shared" si="117"/>
        <v>30000</v>
      </c>
    </row>
    <row r="3734" spans="1:9" ht="37.5">
      <c r="A3734" s="1079"/>
      <c r="B3734" s="475" t="s">
        <v>1550</v>
      </c>
      <c r="C3734" s="530">
        <v>36150</v>
      </c>
      <c r="D3734" s="530">
        <v>36150</v>
      </c>
      <c r="E3734" s="905"/>
      <c r="H3734" s="840">
        <f t="shared" si="116"/>
        <v>0</v>
      </c>
      <c r="I3734" s="840">
        <f t="shared" si="117"/>
        <v>72300</v>
      </c>
    </row>
    <row r="3735" spans="1:9" ht="37.5">
      <c r="A3735" s="1079"/>
      <c r="B3735" s="475" t="s">
        <v>1551</v>
      </c>
      <c r="C3735" s="530">
        <v>12000</v>
      </c>
      <c r="D3735" s="530"/>
      <c r="E3735" s="530">
        <v>12000</v>
      </c>
      <c r="H3735" s="840">
        <f t="shared" si="116"/>
        <v>0</v>
      </c>
      <c r="I3735" s="840">
        <f t="shared" si="117"/>
        <v>24000</v>
      </c>
    </row>
    <row r="3736" spans="1:9" ht="37.5">
      <c r="A3736" s="1079"/>
      <c r="B3736" s="475" t="s">
        <v>1552</v>
      </c>
      <c r="C3736" s="530">
        <v>10000</v>
      </c>
      <c r="D3736" s="530"/>
      <c r="E3736" s="530">
        <v>10000</v>
      </c>
      <c r="H3736" s="840">
        <f t="shared" si="116"/>
        <v>0</v>
      </c>
      <c r="I3736" s="840">
        <f t="shared" si="117"/>
        <v>20000</v>
      </c>
    </row>
    <row r="3737" spans="1:9" ht="37.5">
      <c r="A3737" s="1079"/>
      <c r="B3737" s="475" t="s">
        <v>1553</v>
      </c>
      <c r="C3737" s="530">
        <v>8000</v>
      </c>
      <c r="D3737" s="530"/>
      <c r="E3737" s="530">
        <v>8000</v>
      </c>
      <c r="H3737" s="840">
        <f t="shared" si="116"/>
        <v>0</v>
      </c>
      <c r="I3737" s="840">
        <f t="shared" si="117"/>
        <v>16000</v>
      </c>
    </row>
    <row r="3738" spans="1:9" ht="37.5" hidden="1">
      <c r="A3738" s="1079"/>
      <c r="B3738" s="475" t="s">
        <v>1554</v>
      </c>
      <c r="C3738" s="908">
        <f>50000-50000</f>
        <v>0</v>
      </c>
      <c r="D3738" s="908">
        <f>50000-50000</f>
        <v>0</v>
      </c>
      <c r="E3738" s="905"/>
      <c r="H3738" s="840">
        <f t="shared" si="116"/>
        <v>0</v>
      </c>
      <c r="I3738" s="840">
        <f t="shared" si="117"/>
        <v>0</v>
      </c>
    </row>
    <row r="3739" spans="1:9" ht="93.75">
      <c r="A3739" s="1079"/>
      <c r="B3739" s="475" t="s">
        <v>2498</v>
      </c>
      <c r="C3739" s="908">
        <f>22390-12995</f>
        <v>9395</v>
      </c>
      <c r="D3739" s="908"/>
      <c r="E3739" s="905">
        <f>22390-12995</f>
        <v>9395</v>
      </c>
      <c r="F3739" s="885"/>
      <c r="H3739" s="840">
        <f t="shared" si="116"/>
        <v>0</v>
      </c>
      <c r="I3739" s="840">
        <f t="shared" si="117"/>
        <v>18790</v>
      </c>
    </row>
    <row r="3740" spans="1:9" ht="37.5">
      <c r="A3740" s="1079"/>
      <c r="B3740" s="475" t="s">
        <v>1552</v>
      </c>
      <c r="C3740" s="905">
        <v>12995</v>
      </c>
      <c r="D3740" s="905"/>
      <c r="E3740" s="905">
        <v>12995</v>
      </c>
      <c r="F3740" s="885"/>
      <c r="H3740" s="840">
        <f t="shared" si="116"/>
        <v>0</v>
      </c>
      <c r="I3740" s="840">
        <f t="shared" si="117"/>
        <v>25990</v>
      </c>
    </row>
    <row r="3741" spans="1:9" ht="75">
      <c r="A3741" s="1079"/>
      <c r="B3741" s="475" t="s">
        <v>2507</v>
      </c>
      <c r="C3741" s="908">
        <v>27610</v>
      </c>
      <c r="D3741" s="908">
        <v>27610</v>
      </c>
      <c r="E3741" s="905"/>
      <c r="F3741" s="885"/>
      <c r="H3741" s="840">
        <f t="shared" si="116"/>
        <v>0</v>
      </c>
      <c r="I3741" s="840">
        <f t="shared" si="117"/>
        <v>55220</v>
      </c>
    </row>
    <row r="3742" spans="1:9" ht="56.25">
      <c r="A3742" s="1079"/>
      <c r="B3742" s="475" t="s">
        <v>1555</v>
      </c>
      <c r="C3742" s="530">
        <v>130128</v>
      </c>
      <c r="D3742" s="530">
        <v>130128</v>
      </c>
      <c r="E3742" s="905"/>
      <c r="H3742" s="840">
        <f t="shared" si="116"/>
        <v>0</v>
      </c>
      <c r="I3742" s="840">
        <f t="shared" si="117"/>
        <v>260256</v>
      </c>
    </row>
    <row r="3743" spans="1:9" ht="75">
      <c r="A3743" s="1079"/>
      <c r="B3743" s="475" t="s">
        <v>1800</v>
      </c>
      <c r="C3743" s="908">
        <v>10000</v>
      </c>
      <c r="D3743" s="908">
        <v>10000</v>
      </c>
      <c r="E3743" s="905"/>
      <c r="H3743" s="840">
        <f t="shared" si="116"/>
        <v>0</v>
      </c>
      <c r="I3743" s="840">
        <f t="shared" si="117"/>
        <v>20000</v>
      </c>
    </row>
    <row r="3744" spans="1:9" ht="56.25">
      <c r="A3744" s="1079"/>
      <c r="B3744" s="475" t="s">
        <v>1801</v>
      </c>
      <c r="C3744" s="908">
        <v>5000</v>
      </c>
      <c r="D3744" s="908">
        <v>5000</v>
      </c>
      <c r="E3744" s="905"/>
      <c r="H3744" s="840">
        <f t="shared" si="116"/>
        <v>0</v>
      </c>
      <c r="I3744" s="840">
        <f t="shared" si="117"/>
        <v>10000</v>
      </c>
    </row>
    <row r="3745" spans="1:9" ht="75">
      <c r="A3745" s="1079"/>
      <c r="B3745" s="475" t="s">
        <v>2267</v>
      </c>
      <c r="C3745" s="908">
        <v>30000</v>
      </c>
      <c r="D3745" s="908"/>
      <c r="E3745" s="905">
        <v>30000</v>
      </c>
      <c r="H3745" s="840">
        <f t="shared" si="116"/>
        <v>0</v>
      </c>
      <c r="I3745" s="840">
        <f t="shared" si="117"/>
        <v>60000</v>
      </c>
    </row>
    <row r="3746" spans="1:9" ht="75">
      <c r="A3746" s="1079"/>
      <c r="B3746" s="475" t="s">
        <v>2268</v>
      </c>
      <c r="C3746" s="908">
        <v>25000</v>
      </c>
      <c r="D3746" s="908">
        <v>25000</v>
      </c>
      <c r="E3746" s="905"/>
      <c r="H3746" s="840">
        <f t="shared" si="116"/>
        <v>0</v>
      </c>
      <c r="I3746" s="840">
        <f t="shared" si="117"/>
        <v>50000</v>
      </c>
    </row>
    <row r="3747" spans="1:9" ht="56.25">
      <c r="A3747" s="1079"/>
      <c r="B3747" s="475" t="s">
        <v>2269</v>
      </c>
      <c r="C3747" s="908">
        <v>4000</v>
      </c>
      <c r="D3747" s="908">
        <v>4000</v>
      </c>
      <c r="E3747" s="905"/>
      <c r="H3747" s="840">
        <f t="shared" si="116"/>
        <v>0</v>
      </c>
      <c r="I3747" s="840">
        <f t="shared" si="117"/>
        <v>8000</v>
      </c>
    </row>
    <row r="3748" spans="1:9" ht="93.75">
      <c r="A3748" s="1079"/>
      <c r="B3748" s="475" t="s">
        <v>2270</v>
      </c>
      <c r="C3748" s="905">
        <v>15000</v>
      </c>
      <c r="D3748" s="905"/>
      <c r="E3748" s="905">
        <v>15000</v>
      </c>
      <c r="H3748" s="840">
        <f t="shared" si="116"/>
        <v>0</v>
      </c>
      <c r="I3748" s="840">
        <f t="shared" si="117"/>
        <v>30000</v>
      </c>
    </row>
    <row r="3749" spans="1:9" ht="168.75">
      <c r="A3749" s="1079"/>
      <c r="B3749" s="475" t="s">
        <v>3200</v>
      </c>
      <c r="C3749" s="908">
        <v>10000</v>
      </c>
      <c r="D3749" s="908">
        <v>10000</v>
      </c>
      <c r="E3749" s="905"/>
      <c r="H3749" s="840">
        <f t="shared" si="116"/>
        <v>0</v>
      </c>
      <c r="I3749" s="840">
        <f t="shared" si="117"/>
        <v>20000</v>
      </c>
    </row>
    <row r="3750" spans="1:9" ht="75">
      <c r="A3750" s="1079"/>
      <c r="B3750" s="475" t="s">
        <v>2271</v>
      </c>
      <c r="C3750" s="915">
        <v>6000</v>
      </c>
      <c r="D3750" s="908">
        <v>6000</v>
      </c>
      <c r="E3750" s="905"/>
      <c r="H3750" s="840">
        <f t="shared" si="116"/>
        <v>0</v>
      </c>
      <c r="I3750" s="840">
        <f t="shared" si="117"/>
        <v>12000</v>
      </c>
    </row>
    <row r="3751" spans="1:9" ht="56.25">
      <c r="A3751" s="1079"/>
      <c r="B3751" s="451" t="s">
        <v>2272</v>
      </c>
      <c r="C3751" s="915">
        <v>10000</v>
      </c>
      <c r="D3751" s="915">
        <v>10000</v>
      </c>
      <c r="E3751" s="914"/>
      <c r="H3751" s="840">
        <f t="shared" si="116"/>
        <v>0</v>
      </c>
      <c r="I3751" s="840">
        <f t="shared" si="117"/>
        <v>20000</v>
      </c>
    </row>
    <row r="3752" spans="1:9" ht="75">
      <c r="A3752" s="1079"/>
      <c r="B3752" s="475" t="s">
        <v>2273</v>
      </c>
      <c r="C3752" s="915">
        <v>3556</v>
      </c>
      <c r="D3752" s="908">
        <v>3556</v>
      </c>
      <c r="E3752" s="905"/>
      <c r="H3752" s="840">
        <f t="shared" si="116"/>
        <v>0</v>
      </c>
      <c r="I3752" s="840">
        <f t="shared" si="117"/>
        <v>7112</v>
      </c>
    </row>
    <row r="3753" spans="1:9" ht="112.5">
      <c r="A3753" s="1079"/>
      <c r="B3753" s="475" t="s">
        <v>2274</v>
      </c>
      <c r="C3753" s="915">
        <v>20049</v>
      </c>
      <c r="D3753" s="908">
        <v>20049</v>
      </c>
      <c r="E3753" s="905"/>
      <c r="H3753" s="840">
        <f t="shared" si="116"/>
        <v>0</v>
      </c>
      <c r="I3753" s="840">
        <f t="shared" si="117"/>
        <v>40098</v>
      </c>
    </row>
    <row r="3754" spans="1:9" ht="93.75">
      <c r="A3754" s="1079"/>
      <c r="B3754" s="475" t="s">
        <v>2275</v>
      </c>
      <c r="C3754" s="915">
        <v>10000</v>
      </c>
      <c r="D3754" s="908"/>
      <c r="E3754" s="905">
        <v>10000</v>
      </c>
      <c r="H3754" s="840">
        <f t="shared" si="116"/>
        <v>0</v>
      </c>
      <c r="I3754" s="840">
        <f t="shared" si="117"/>
        <v>20000</v>
      </c>
    </row>
    <row r="3755" spans="1:9" ht="56.25">
      <c r="A3755" s="1079"/>
      <c r="B3755" s="451" t="s">
        <v>2276</v>
      </c>
      <c r="C3755" s="915">
        <v>10000</v>
      </c>
      <c r="D3755" s="908"/>
      <c r="E3755" s="905">
        <v>10000</v>
      </c>
      <c r="H3755" s="840">
        <f t="shared" si="116"/>
        <v>0</v>
      </c>
      <c r="I3755" s="840">
        <f t="shared" si="117"/>
        <v>20000</v>
      </c>
    </row>
    <row r="3756" spans="1:9" ht="56.25">
      <c r="A3756" s="1079"/>
      <c r="B3756" s="535" t="s">
        <v>2277</v>
      </c>
      <c r="C3756" s="915">
        <v>5000</v>
      </c>
      <c r="D3756" s="908">
        <v>5000</v>
      </c>
      <c r="E3756" s="905"/>
      <c r="H3756" s="840">
        <f t="shared" si="116"/>
        <v>0</v>
      </c>
      <c r="I3756" s="840">
        <f t="shared" si="117"/>
        <v>10000</v>
      </c>
    </row>
    <row r="3757" spans="1:9" ht="93.75">
      <c r="A3757" s="1079"/>
      <c r="B3757" s="535" t="s">
        <v>2278</v>
      </c>
      <c r="C3757" s="915">
        <v>40000</v>
      </c>
      <c r="D3757" s="908"/>
      <c r="E3757" s="905">
        <v>40000</v>
      </c>
      <c r="H3757" s="840">
        <f t="shared" si="116"/>
        <v>0</v>
      </c>
      <c r="I3757" s="840">
        <f t="shared" si="117"/>
        <v>80000</v>
      </c>
    </row>
    <row r="3758" spans="1:9" ht="93.75">
      <c r="A3758" s="1079"/>
      <c r="B3758" s="535" t="s">
        <v>2279</v>
      </c>
      <c r="C3758" s="915">
        <v>5000</v>
      </c>
      <c r="D3758" s="908">
        <v>5000</v>
      </c>
      <c r="E3758" s="905"/>
      <c r="H3758" s="840">
        <f t="shared" si="116"/>
        <v>0</v>
      </c>
      <c r="I3758" s="840">
        <f t="shared" si="117"/>
        <v>10000</v>
      </c>
    </row>
    <row r="3759" spans="1:9" ht="75">
      <c r="A3759" s="1079"/>
      <c r="B3759" s="535" t="s">
        <v>2280</v>
      </c>
      <c r="C3759" s="915">
        <v>5000</v>
      </c>
      <c r="D3759" s="908">
        <v>5000</v>
      </c>
      <c r="E3759" s="905"/>
      <c r="H3759" s="840">
        <f t="shared" si="116"/>
        <v>0</v>
      </c>
      <c r="I3759" s="840">
        <f t="shared" si="117"/>
        <v>10000</v>
      </c>
    </row>
    <row r="3760" spans="1:9" ht="56.25">
      <c r="A3760" s="1079"/>
      <c r="B3760" s="535" t="s">
        <v>2281</v>
      </c>
      <c r="C3760" s="915">
        <v>16000</v>
      </c>
      <c r="D3760" s="908">
        <v>16000</v>
      </c>
      <c r="E3760" s="905"/>
      <c r="H3760" s="840">
        <f t="shared" si="116"/>
        <v>0</v>
      </c>
      <c r="I3760" s="840">
        <f t="shared" si="117"/>
        <v>32000</v>
      </c>
    </row>
    <row r="3761" spans="1:9" ht="93.75">
      <c r="A3761" s="1079"/>
      <c r="B3761" s="535" t="s">
        <v>2390</v>
      </c>
      <c r="C3761" s="915">
        <v>4000</v>
      </c>
      <c r="D3761" s="908">
        <v>4000</v>
      </c>
      <c r="E3761" s="905"/>
      <c r="H3761" s="840">
        <f t="shared" si="116"/>
        <v>0</v>
      </c>
      <c r="I3761" s="840">
        <f t="shared" si="117"/>
        <v>8000</v>
      </c>
    </row>
    <row r="3762" spans="1:9" ht="75">
      <c r="A3762" s="1079"/>
      <c r="B3762" s="535" t="s">
        <v>2282</v>
      </c>
      <c r="C3762" s="915">
        <v>5000</v>
      </c>
      <c r="D3762" s="908">
        <v>5000</v>
      </c>
      <c r="E3762" s="905"/>
      <c r="H3762" s="840">
        <f t="shared" si="116"/>
        <v>0</v>
      </c>
      <c r="I3762" s="840">
        <f t="shared" si="117"/>
        <v>10000</v>
      </c>
    </row>
    <row r="3763" spans="1:9" ht="75">
      <c r="A3763" s="1079"/>
      <c r="B3763" s="535" t="s">
        <v>2283</v>
      </c>
      <c r="C3763" s="915">
        <v>5000</v>
      </c>
      <c r="D3763" s="908">
        <v>5000</v>
      </c>
      <c r="E3763" s="905"/>
      <c r="H3763" s="840">
        <f t="shared" si="116"/>
        <v>0</v>
      </c>
      <c r="I3763" s="840">
        <f t="shared" si="117"/>
        <v>10000</v>
      </c>
    </row>
    <row r="3764" spans="1:9" ht="93.75">
      <c r="A3764" s="1079"/>
      <c r="B3764" s="535" t="s">
        <v>2284</v>
      </c>
      <c r="C3764" s="915">
        <v>15000</v>
      </c>
      <c r="D3764" s="908"/>
      <c r="E3764" s="905">
        <v>15000</v>
      </c>
      <c r="H3764" s="840">
        <f t="shared" si="116"/>
        <v>0</v>
      </c>
      <c r="I3764" s="840">
        <f t="shared" si="117"/>
        <v>30000</v>
      </c>
    </row>
    <row r="3765" spans="1:9" ht="93.75">
      <c r="A3765" s="1079"/>
      <c r="B3765" s="475" t="s">
        <v>2285</v>
      </c>
      <c r="C3765" s="908">
        <v>15000</v>
      </c>
      <c r="D3765" s="908">
        <v>15000</v>
      </c>
      <c r="E3765" s="905"/>
      <c r="H3765" s="840">
        <f t="shared" si="116"/>
        <v>0</v>
      </c>
      <c r="I3765" s="840">
        <f t="shared" si="117"/>
        <v>30000</v>
      </c>
    </row>
    <row r="3766" spans="1:9" ht="37.5">
      <c r="A3766" s="1079"/>
      <c r="B3766" s="475" t="s">
        <v>2286</v>
      </c>
      <c r="C3766" s="908">
        <v>30000</v>
      </c>
      <c r="D3766" s="908">
        <v>30000</v>
      </c>
      <c r="E3766" s="905"/>
      <c r="H3766" s="840">
        <f t="shared" si="116"/>
        <v>0</v>
      </c>
      <c r="I3766" s="840">
        <f t="shared" si="117"/>
        <v>60000</v>
      </c>
    </row>
    <row r="3767" spans="1:9" ht="37.5">
      <c r="A3767" s="1079"/>
      <c r="B3767" s="475" t="s">
        <v>2287</v>
      </c>
      <c r="C3767" s="908">
        <v>5000</v>
      </c>
      <c r="D3767" s="908">
        <v>5000</v>
      </c>
      <c r="E3767" s="905"/>
      <c r="H3767" s="840">
        <f t="shared" si="116"/>
        <v>0</v>
      </c>
      <c r="I3767" s="840">
        <f t="shared" si="117"/>
        <v>10000</v>
      </c>
    </row>
    <row r="3768" spans="1:9" ht="56.25">
      <c r="A3768" s="1079"/>
      <c r="B3768" s="475" t="s">
        <v>2288</v>
      </c>
      <c r="C3768" s="908">
        <v>30000</v>
      </c>
      <c r="D3768" s="908"/>
      <c r="E3768" s="905">
        <v>30000</v>
      </c>
      <c r="H3768" s="840">
        <f t="shared" si="116"/>
        <v>0</v>
      </c>
      <c r="I3768" s="840">
        <f t="shared" si="117"/>
        <v>60000</v>
      </c>
    </row>
    <row r="3769" spans="1:9" ht="93.75">
      <c r="A3769" s="1079"/>
      <c r="B3769" s="475" t="s">
        <v>2284</v>
      </c>
      <c r="C3769" s="908">
        <v>15000</v>
      </c>
      <c r="D3769" s="908"/>
      <c r="E3769" s="905">
        <v>15000</v>
      </c>
      <c r="H3769" s="840">
        <f t="shared" si="116"/>
        <v>0</v>
      </c>
      <c r="I3769" s="840">
        <f t="shared" si="117"/>
        <v>30000</v>
      </c>
    </row>
    <row r="3770" spans="1:9" ht="93.75">
      <c r="A3770" s="1079"/>
      <c r="B3770" s="475" t="s">
        <v>2284</v>
      </c>
      <c r="C3770" s="908">
        <v>15000</v>
      </c>
      <c r="D3770" s="908"/>
      <c r="E3770" s="905">
        <v>15000</v>
      </c>
      <c r="H3770" s="840">
        <f t="shared" si="116"/>
        <v>0</v>
      </c>
      <c r="I3770" s="840">
        <f t="shared" si="117"/>
        <v>30000</v>
      </c>
    </row>
    <row r="3771" spans="1:9" ht="93.75">
      <c r="A3771" s="1079"/>
      <c r="B3771" s="475" t="s">
        <v>2284</v>
      </c>
      <c r="C3771" s="908">
        <v>15000</v>
      </c>
      <c r="D3771" s="908"/>
      <c r="E3771" s="905">
        <v>15000</v>
      </c>
      <c r="H3771" s="840">
        <f t="shared" si="116"/>
        <v>0</v>
      </c>
      <c r="I3771" s="840">
        <f t="shared" si="117"/>
        <v>30000</v>
      </c>
    </row>
    <row r="3772" spans="1:9" ht="93.75">
      <c r="A3772" s="1079"/>
      <c r="B3772" s="475" t="s">
        <v>2498</v>
      </c>
      <c r="C3772" s="908">
        <v>195605</v>
      </c>
      <c r="D3772" s="908"/>
      <c r="E3772" s="905">
        <v>195605</v>
      </c>
      <c r="H3772" s="840">
        <f t="shared" si="116"/>
        <v>0</v>
      </c>
      <c r="I3772" s="840">
        <f t="shared" si="117"/>
        <v>391210</v>
      </c>
    </row>
    <row r="3773" spans="1:9" ht="93.75">
      <c r="A3773" s="1079"/>
      <c r="B3773" s="475" t="s">
        <v>2499</v>
      </c>
      <c r="C3773" s="908">
        <v>6500</v>
      </c>
      <c r="D3773" s="908"/>
      <c r="E3773" s="905">
        <v>6500</v>
      </c>
      <c r="H3773" s="840">
        <f t="shared" si="116"/>
        <v>0</v>
      </c>
      <c r="I3773" s="840">
        <f t="shared" si="117"/>
        <v>13000</v>
      </c>
    </row>
    <row r="3774" spans="1:9" ht="75">
      <c r="A3774" s="1079"/>
      <c r="B3774" s="475" t="s">
        <v>2631</v>
      </c>
      <c r="C3774" s="905">
        <v>38000</v>
      </c>
      <c r="D3774" s="905">
        <v>38000</v>
      </c>
      <c r="E3774" s="919"/>
      <c r="H3774" s="840">
        <f t="shared" si="116"/>
        <v>0</v>
      </c>
      <c r="I3774" s="840">
        <f t="shared" si="117"/>
        <v>76000</v>
      </c>
    </row>
    <row r="3775" spans="1:9" ht="75">
      <c r="A3775" s="1079"/>
      <c r="B3775" s="475" t="s">
        <v>3101</v>
      </c>
      <c r="C3775" s="947">
        <v>50000</v>
      </c>
      <c r="D3775" s="947"/>
      <c r="E3775" s="947">
        <v>50000</v>
      </c>
      <c r="H3775" s="840">
        <f t="shared" si="116"/>
        <v>0</v>
      </c>
      <c r="I3775" s="840">
        <f t="shared" si="117"/>
        <v>100000</v>
      </c>
    </row>
    <row r="3776" spans="1:9" ht="56.25">
      <c r="A3776" s="1079"/>
      <c r="B3776" s="475" t="s">
        <v>2632</v>
      </c>
      <c r="C3776" s="947">
        <v>30000</v>
      </c>
      <c r="D3776" s="947"/>
      <c r="E3776" s="947">
        <v>30000</v>
      </c>
      <c r="H3776" s="840">
        <f t="shared" si="116"/>
        <v>0</v>
      </c>
      <c r="I3776" s="840">
        <f t="shared" si="117"/>
        <v>60000</v>
      </c>
    </row>
    <row r="3777" spans="1:9" ht="56.25">
      <c r="A3777" s="1079"/>
      <c r="B3777" s="475" t="s">
        <v>2991</v>
      </c>
      <c r="C3777" s="905">
        <v>151000</v>
      </c>
      <c r="D3777" s="906"/>
      <c r="E3777" s="906">
        <v>151000</v>
      </c>
      <c r="H3777" s="840">
        <f t="shared" si="116"/>
        <v>0</v>
      </c>
      <c r="I3777" s="840">
        <f t="shared" si="117"/>
        <v>302000</v>
      </c>
    </row>
    <row r="3778" spans="1:9" ht="37.5">
      <c r="A3778" s="1079"/>
      <c r="B3778" s="475" t="s">
        <v>2992</v>
      </c>
      <c r="C3778" s="905">
        <v>3441</v>
      </c>
      <c r="D3778" s="906"/>
      <c r="E3778" s="906">
        <v>3441</v>
      </c>
      <c r="H3778" s="840">
        <f t="shared" si="116"/>
        <v>0</v>
      </c>
      <c r="I3778" s="840">
        <f t="shared" si="117"/>
        <v>6882</v>
      </c>
    </row>
    <row r="3779" spans="1:9" ht="93.75">
      <c r="A3779" s="1079"/>
      <c r="B3779" s="475" t="s">
        <v>2993</v>
      </c>
      <c r="C3779" s="908">
        <v>9441</v>
      </c>
      <c r="D3779" s="908">
        <v>9441</v>
      </c>
      <c r="E3779" s="905"/>
      <c r="H3779" s="840">
        <f t="shared" si="116"/>
        <v>0</v>
      </c>
      <c r="I3779" s="840">
        <f t="shared" si="117"/>
        <v>18882</v>
      </c>
    </row>
    <row r="3780" spans="1:9" ht="56.25">
      <c r="A3780" s="1079"/>
      <c r="B3780" s="475" t="s">
        <v>2994</v>
      </c>
      <c r="C3780" s="908">
        <v>15000</v>
      </c>
      <c r="D3780" s="908">
        <v>5000</v>
      </c>
      <c r="E3780" s="905">
        <v>10000</v>
      </c>
      <c r="H3780" s="840">
        <f t="shared" si="116"/>
        <v>0</v>
      </c>
      <c r="I3780" s="840">
        <f t="shared" si="117"/>
        <v>30000</v>
      </c>
    </row>
    <row r="3781" spans="1:9" ht="93.75">
      <c r="A3781" s="1079"/>
      <c r="B3781" s="475" t="s">
        <v>2995</v>
      </c>
      <c r="C3781" s="908">
        <v>5000</v>
      </c>
      <c r="D3781" s="908">
        <v>5000</v>
      </c>
      <c r="E3781" s="905"/>
      <c r="H3781" s="840">
        <f t="shared" si="116"/>
        <v>0</v>
      </c>
      <c r="I3781" s="840">
        <f t="shared" si="117"/>
        <v>10000</v>
      </c>
    </row>
    <row r="3782" spans="1:9" ht="93.75">
      <c r="A3782" s="1079"/>
      <c r="B3782" s="475" t="s">
        <v>2996</v>
      </c>
      <c r="C3782" s="908">
        <v>10000</v>
      </c>
      <c r="D3782" s="908">
        <v>10000</v>
      </c>
      <c r="E3782" s="905"/>
      <c r="H3782" s="840">
        <f t="shared" si="116"/>
        <v>0</v>
      </c>
      <c r="I3782" s="840">
        <f t="shared" si="117"/>
        <v>20000</v>
      </c>
    </row>
    <row r="3783" spans="1:9" ht="75">
      <c r="A3783" s="1079"/>
      <c r="B3783" s="475" t="s">
        <v>2997</v>
      </c>
      <c r="C3783" s="908">
        <v>5000</v>
      </c>
      <c r="D3783" s="908">
        <v>5000</v>
      </c>
      <c r="E3783" s="905"/>
      <c r="H3783" s="840">
        <f t="shared" si="116"/>
        <v>0</v>
      </c>
      <c r="I3783" s="840">
        <f t="shared" si="117"/>
        <v>10000</v>
      </c>
    </row>
    <row r="3784" spans="1:9" ht="112.5">
      <c r="A3784" s="1079"/>
      <c r="B3784" s="475" t="s">
        <v>2998</v>
      </c>
      <c r="C3784" s="908">
        <v>10000</v>
      </c>
      <c r="D3784" s="908">
        <v>10000</v>
      </c>
      <c r="E3784" s="905"/>
      <c r="H3784" s="840">
        <f t="shared" si="116"/>
        <v>0</v>
      </c>
      <c r="I3784" s="840">
        <f t="shared" si="117"/>
        <v>20000</v>
      </c>
    </row>
    <row r="3785" spans="1:9" ht="93.75">
      <c r="A3785" s="1079"/>
      <c r="B3785" s="475" t="s">
        <v>2999</v>
      </c>
      <c r="C3785" s="908">
        <v>5000</v>
      </c>
      <c r="D3785" s="908">
        <v>5000</v>
      </c>
      <c r="E3785" s="905"/>
      <c r="H3785" s="840">
        <f t="shared" ref="H3785:H3848" si="118">E3785+D3785-C3785</f>
        <v>0</v>
      </c>
      <c r="I3785" s="840">
        <f t="shared" ref="I3785:I3848" si="119">SUM(C3785:E3785)</f>
        <v>10000</v>
      </c>
    </row>
    <row r="3786" spans="1:9" ht="75">
      <c r="A3786" s="1079"/>
      <c r="B3786" s="475" t="s">
        <v>3000</v>
      </c>
      <c r="C3786" s="908">
        <v>5000</v>
      </c>
      <c r="D3786" s="908">
        <v>5000</v>
      </c>
      <c r="E3786" s="905"/>
      <c r="H3786" s="840">
        <f t="shared" si="118"/>
        <v>0</v>
      </c>
      <c r="I3786" s="840">
        <f t="shared" si="119"/>
        <v>10000</v>
      </c>
    </row>
    <row r="3787" spans="1:9" ht="56.25">
      <c r="A3787" s="1079"/>
      <c r="B3787" s="475" t="s">
        <v>3001</v>
      </c>
      <c r="C3787" s="908">
        <v>15000</v>
      </c>
      <c r="D3787" s="908">
        <v>7000</v>
      </c>
      <c r="E3787" s="905">
        <v>8000</v>
      </c>
      <c r="H3787" s="840">
        <f t="shared" si="118"/>
        <v>0</v>
      </c>
      <c r="I3787" s="840">
        <f t="shared" si="119"/>
        <v>30000</v>
      </c>
    </row>
    <row r="3788" spans="1:9" ht="37.5">
      <c r="A3788" s="1079"/>
      <c r="B3788" s="475" t="s">
        <v>3002</v>
      </c>
      <c r="C3788" s="908">
        <v>54000</v>
      </c>
      <c r="D3788" s="908"/>
      <c r="E3788" s="905">
        <v>54000</v>
      </c>
      <c r="H3788" s="840">
        <f t="shared" si="118"/>
        <v>0</v>
      </c>
      <c r="I3788" s="840">
        <f t="shared" si="119"/>
        <v>108000</v>
      </c>
    </row>
    <row r="3789" spans="1:9" ht="93.75">
      <c r="A3789" s="1079"/>
      <c r="B3789" s="475" t="s">
        <v>3003</v>
      </c>
      <c r="C3789" s="908">
        <v>67500</v>
      </c>
      <c r="D3789" s="908">
        <v>67500</v>
      </c>
      <c r="E3789" s="905"/>
      <c r="H3789" s="840">
        <f t="shared" si="118"/>
        <v>0</v>
      </c>
      <c r="I3789" s="840">
        <f t="shared" si="119"/>
        <v>135000</v>
      </c>
    </row>
    <row r="3790" spans="1:9" ht="75">
      <c r="A3790" s="1079"/>
      <c r="B3790" s="475" t="s">
        <v>3004</v>
      </c>
      <c r="C3790" s="908">
        <v>2000</v>
      </c>
      <c r="D3790" s="908">
        <v>2000</v>
      </c>
      <c r="E3790" s="905"/>
      <c r="H3790" s="840">
        <f t="shared" si="118"/>
        <v>0</v>
      </c>
      <c r="I3790" s="840">
        <f t="shared" si="119"/>
        <v>4000</v>
      </c>
    </row>
    <row r="3791" spans="1:9" ht="93.75">
      <c r="A3791" s="1079"/>
      <c r="B3791" s="863" t="s">
        <v>3005</v>
      </c>
      <c r="C3791" s="908">
        <v>12500</v>
      </c>
      <c r="D3791" s="908">
        <v>12500</v>
      </c>
      <c r="E3791" s="905"/>
      <c r="H3791" s="840">
        <f t="shared" si="118"/>
        <v>0</v>
      </c>
      <c r="I3791" s="840">
        <f t="shared" si="119"/>
        <v>25000</v>
      </c>
    </row>
    <row r="3792" spans="1:9" ht="93.75">
      <c r="A3792" s="1079"/>
      <c r="B3792" s="863" t="s">
        <v>3006</v>
      </c>
      <c r="C3792" s="908">
        <v>15000</v>
      </c>
      <c r="D3792" s="908">
        <v>15000</v>
      </c>
      <c r="E3792" s="905"/>
      <c r="H3792" s="840">
        <f t="shared" si="118"/>
        <v>0</v>
      </c>
      <c r="I3792" s="840">
        <f t="shared" si="119"/>
        <v>30000</v>
      </c>
    </row>
    <row r="3793" spans="1:9" ht="75">
      <c r="A3793" s="1079"/>
      <c r="B3793" s="863" t="s">
        <v>3007</v>
      </c>
      <c r="C3793" s="908">
        <v>10000</v>
      </c>
      <c r="D3793" s="908">
        <v>10000</v>
      </c>
      <c r="E3793" s="905"/>
      <c r="H3793" s="840">
        <f t="shared" si="118"/>
        <v>0</v>
      </c>
      <c r="I3793" s="840">
        <f t="shared" si="119"/>
        <v>20000</v>
      </c>
    </row>
    <row r="3794" spans="1:9" ht="75">
      <c r="A3794" s="1079"/>
      <c r="B3794" s="863" t="s">
        <v>3008</v>
      </c>
      <c r="C3794" s="908">
        <v>8000</v>
      </c>
      <c r="D3794" s="908"/>
      <c r="E3794" s="905">
        <v>8000</v>
      </c>
      <c r="H3794" s="840">
        <f t="shared" si="118"/>
        <v>0</v>
      </c>
      <c r="I3794" s="840">
        <f t="shared" si="119"/>
        <v>16000</v>
      </c>
    </row>
    <row r="3795" spans="1:9" ht="93.75">
      <c r="A3795" s="1079"/>
      <c r="B3795" s="863" t="s">
        <v>3009</v>
      </c>
      <c r="C3795" s="908">
        <v>15000</v>
      </c>
      <c r="D3795" s="908"/>
      <c r="E3795" s="905">
        <v>15000</v>
      </c>
      <c r="H3795" s="840">
        <f t="shared" si="118"/>
        <v>0</v>
      </c>
      <c r="I3795" s="840">
        <f t="shared" si="119"/>
        <v>30000</v>
      </c>
    </row>
    <row r="3796" spans="1:9" ht="56.25">
      <c r="A3796" s="1079"/>
      <c r="B3796" s="863" t="s">
        <v>3010</v>
      </c>
      <c r="C3796" s="908">
        <v>5800</v>
      </c>
      <c r="D3796" s="908">
        <v>5800</v>
      </c>
      <c r="E3796" s="905"/>
      <c r="H3796" s="840">
        <f t="shared" si="118"/>
        <v>0</v>
      </c>
      <c r="I3796" s="840">
        <f t="shared" si="119"/>
        <v>11600</v>
      </c>
    </row>
    <row r="3797" spans="1:9" ht="75">
      <c r="A3797" s="1079"/>
      <c r="B3797" s="863" t="s">
        <v>3011</v>
      </c>
      <c r="C3797" s="908">
        <v>5641</v>
      </c>
      <c r="D3797" s="908">
        <v>5641</v>
      </c>
      <c r="E3797" s="905"/>
      <c r="H3797" s="840">
        <f t="shared" si="118"/>
        <v>0</v>
      </c>
      <c r="I3797" s="840">
        <f t="shared" si="119"/>
        <v>11282</v>
      </c>
    </row>
    <row r="3798" spans="1:9" ht="75">
      <c r="A3798" s="1079"/>
      <c r="B3798" s="475" t="s">
        <v>3012</v>
      </c>
      <c r="C3798" s="908">
        <v>10000</v>
      </c>
      <c r="D3798" s="908"/>
      <c r="E3798" s="905">
        <v>10000</v>
      </c>
      <c r="H3798" s="840">
        <f t="shared" si="118"/>
        <v>0</v>
      </c>
      <c r="I3798" s="840">
        <f t="shared" si="119"/>
        <v>20000</v>
      </c>
    </row>
    <row r="3799" spans="1:9" ht="37.5">
      <c r="A3799" s="1079"/>
      <c r="B3799" s="475" t="s">
        <v>3013</v>
      </c>
      <c r="C3799" s="908">
        <v>7000</v>
      </c>
      <c r="D3799" s="908">
        <v>7000</v>
      </c>
      <c r="E3799" s="905"/>
      <c r="H3799" s="840">
        <f t="shared" si="118"/>
        <v>0</v>
      </c>
      <c r="I3799" s="840">
        <f t="shared" si="119"/>
        <v>14000</v>
      </c>
    </row>
    <row r="3800" spans="1:9" ht="56.25">
      <c r="A3800" s="1079"/>
      <c r="B3800" s="475" t="s">
        <v>3014</v>
      </c>
      <c r="C3800" s="908">
        <v>25000</v>
      </c>
      <c r="D3800" s="908">
        <v>25000</v>
      </c>
      <c r="E3800" s="905"/>
      <c r="H3800" s="840">
        <f t="shared" si="118"/>
        <v>0</v>
      </c>
      <c r="I3800" s="840">
        <f t="shared" si="119"/>
        <v>50000</v>
      </c>
    </row>
    <row r="3801" spans="1:9" ht="56.25">
      <c r="A3801" s="1079"/>
      <c r="B3801" s="475" t="s">
        <v>3015</v>
      </c>
      <c r="C3801" s="908">
        <v>14500</v>
      </c>
      <c r="D3801" s="908">
        <v>14500</v>
      </c>
      <c r="E3801" s="905"/>
      <c r="H3801" s="840">
        <f t="shared" si="118"/>
        <v>0</v>
      </c>
      <c r="I3801" s="840">
        <f t="shared" si="119"/>
        <v>29000</v>
      </c>
    </row>
    <row r="3802" spans="1:9" ht="75">
      <c r="A3802" s="1079"/>
      <c r="B3802" s="475" t="s">
        <v>3016</v>
      </c>
      <c r="C3802" s="908">
        <v>50000</v>
      </c>
      <c r="D3802" s="908"/>
      <c r="E3802" s="908">
        <v>50000</v>
      </c>
      <c r="H3802" s="840">
        <f t="shared" si="118"/>
        <v>0</v>
      </c>
      <c r="I3802" s="840">
        <f t="shared" si="119"/>
        <v>100000</v>
      </c>
    </row>
    <row r="3803" spans="1:9" hidden="1">
      <c r="A3803" s="1079"/>
      <c r="B3803" s="475"/>
      <c r="C3803" s="947"/>
      <c r="D3803" s="947"/>
      <c r="E3803" s="947"/>
      <c r="H3803" s="840">
        <f t="shared" si="118"/>
        <v>0</v>
      </c>
      <c r="I3803" s="840">
        <f t="shared" si="119"/>
        <v>0</v>
      </c>
    </row>
    <row r="3804" spans="1:9" hidden="1">
      <c r="A3804" s="1079"/>
      <c r="B3804" s="475"/>
      <c r="C3804" s="947"/>
      <c r="D3804" s="947"/>
      <c r="E3804" s="947"/>
      <c r="H3804" s="840">
        <f t="shared" si="118"/>
        <v>0</v>
      </c>
      <c r="I3804" s="840">
        <f t="shared" si="119"/>
        <v>0</v>
      </c>
    </row>
    <row r="3805" spans="1:9" hidden="1">
      <c r="A3805" s="1079"/>
      <c r="B3805" s="475"/>
      <c r="C3805" s="947"/>
      <c r="D3805" s="947"/>
      <c r="E3805" s="947"/>
      <c r="H3805" s="840">
        <f t="shared" si="118"/>
        <v>0</v>
      </c>
      <c r="I3805" s="840">
        <f t="shared" si="119"/>
        <v>0</v>
      </c>
    </row>
    <row r="3806" spans="1:9" hidden="1">
      <c r="A3806" s="1079"/>
      <c r="B3806" s="475"/>
      <c r="C3806" s="947"/>
      <c r="D3806" s="947"/>
      <c r="E3806" s="947"/>
      <c r="H3806" s="840">
        <f t="shared" si="118"/>
        <v>0</v>
      </c>
      <c r="I3806" s="840">
        <f t="shared" si="119"/>
        <v>0</v>
      </c>
    </row>
    <row r="3807" spans="1:9" hidden="1">
      <c r="A3807" s="1079"/>
      <c r="B3807" s="475"/>
      <c r="C3807" s="947"/>
      <c r="D3807" s="947"/>
      <c r="E3807" s="947"/>
      <c r="H3807" s="840">
        <f t="shared" si="118"/>
        <v>0</v>
      </c>
      <c r="I3807" s="840">
        <f t="shared" si="119"/>
        <v>0</v>
      </c>
    </row>
    <row r="3808" spans="1:9" hidden="1">
      <c r="A3808" s="1079"/>
      <c r="B3808" s="475"/>
      <c r="C3808" s="947"/>
      <c r="D3808" s="947"/>
      <c r="E3808" s="947"/>
      <c r="H3808" s="840">
        <f t="shared" si="118"/>
        <v>0</v>
      </c>
      <c r="I3808" s="840">
        <f t="shared" si="119"/>
        <v>0</v>
      </c>
    </row>
    <row r="3809" spans="1:9" hidden="1">
      <c r="A3809" s="1079"/>
      <c r="B3809" s="475"/>
      <c r="C3809" s="947"/>
      <c r="D3809" s="947"/>
      <c r="E3809" s="947"/>
      <c r="H3809" s="840">
        <f t="shared" si="118"/>
        <v>0</v>
      </c>
      <c r="I3809" s="840">
        <f t="shared" si="119"/>
        <v>0</v>
      </c>
    </row>
    <row r="3810" spans="1:9" hidden="1">
      <c r="A3810" s="1079"/>
      <c r="B3810" s="475"/>
      <c r="C3810" s="947"/>
      <c r="D3810" s="947"/>
      <c r="E3810" s="947"/>
      <c r="H3810" s="840">
        <f t="shared" si="118"/>
        <v>0</v>
      </c>
      <c r="I3810" s="840">
        <f t="shared" si="119"/>
        <v>0</v>
      </c>
    </row>
    <row r="3811" spans="1:9" hidden="1">
      <c r="A3811" s="1079"/>
      <c r="B3811" s="475"/>
      <c r="C3811" s="947"/>
      <c r="D3811" s="947"/>
      <c r="E3811" s="947"/>
      <c r="H3811" s="840">
        <f t="shared" si="118"/>
        <v>0</v>
      </c>
      <c r="I3811" s="840">
        <f t="shared" si="119"/>
        <v>0</v>
      </c>
    </row>
    <row r="3812" spans="1:9" hidden="1">
      <c r="A3812" s="1079"/>
      <c r="B3812" s="475"/>
      <c r="C3812" s="947"/>
      <c r="D3812" s="947"/>
      <c r="E3812" s="947"/>
      <c r="H3812" s="840">
        <f t="shared" si="118"/>
        <v>0</v>
      </c>
      <c r="I3812" s="840">
        <f t="shared" si="119"/>
        <v>0</v>
      </c>
    </row>
    <row r="3813" spans="1:9" hidden="1">
      <c r="A3813" s="1079"/>
      <c r="B3813" s="475"/>
      <c r="C3813" s="947"/>
      <c r="D3813" s="947"/>
      <c r="E3813" s="947"/>
      <c r="H3813" s="840">
        <f t="shared" si="118"/>
        <v>0</v>
      </c>
      <c r="I3813" s="840">
        <f t="shared" si="119"/>
        <v>0</v>
      </c>
    </row>
    <row r="3814" spans="1:9" hidden="1">
      <c r="A3814" s="1079"/>
      <c r="B3814" s="475"/>
      <c r="C3814" s="947"/>
      <c r="D3814" s="947"/>
      <c r="E3814" s="947"/>
      <c r="H3814" s="840">
        <f t="shared" si="118"/>
        <v>0</v>
      </c>
      <c r="I3814" s="840">
        <f t="shared" si="119"/>
        <v>0</v>
      </c>
    </row>
    <row r="3815" spans="1:9" hidden="1">
      <c r="A3815" s="1079"/>
      <c r="B3815" s="475"/>
      <c r="C3815" s="947"/>
      <c r="D3815" s="947"/>
      <c r="E3815" s="947"/>
      <c r="H3815" s="840">
        <f t="shared" si="118"/>
        <v>0</v>
      </c>
      <c r="I3815" s="840">
        <f t="shared" si="119"/>
        <v>0</v>
      </c>
    </row>
    <row r="3816" spans="1:9" hidden="1">
      <c r="A3816" s="1079"/>
      <c r="B3816" s="475"/>
      <c r="C3816" s="947"/>
      <c r="D3816" s="947"/>
      <c r="E3816" s="947"/>
      <c r="H3816" s="840">
        <f t="shared" si="118"/>
        <v>0</v>
      </c>
      <c r="I3816" s="840">
        <f t="shared" si="119"/>
        <v>0</v>
      </c>
    </row>
    <row r="3817" spans="1:9" hidden="1">
      <c r="A3817" s="1079"/>
      <c r="B3817" s="475"/>
      <c r="C3817" s="947"/>
      <c r="D3817" s="947"/>
      <c r="E3817" s="947"/>
      <c r="H3817" s="840">
        <f t="shared" si="118"/>
        <v>0</v>
      </c>
      <c r="I3817" s="840">
        <f t="shared" si="119"/>
        <v>0</v>
      </c>
    </row>
    <row r="3818" spans="1:9" hidden="1">
      <c r="A3818" s="1079"/>
      <c r="B3818" s="475"/>
      <c r="C3818" s="947"/>
      <c r="D3818" s="947"/>
      <c r="E3818" s="947"/>
      <c r="H3818" s="840">
        <f t="shared" si="118"/>
        <v>0</v>
      </c>
      <c r="I3818" s="840">
        <f t="shared" si="119"/>
        <v>0</v>
      </c>
    </row>
    <row r="3819" spans="1:9" hidden="1">
      <c r="A3819" s="1079"/>
      <c r="B3819" s="475"/>
      <c r="C3819" s="947"/>
      <c r="D3819" s="947"/>
      <c r="E3819" s="947"/>
      <c r="H3819" s="840">
        <f t="shared" si="118"/>
        <v>0</v>
      </c>
      <c r="I3819" s="840">
        <f t="shared" si="119"/>
        <v>0</v>
      </c>
    </row>
    <row r="3820" spans="1:9" hidden="1">
      <c r="A3820" s="1079"/>
      <c r="B3820" s="475"/>
      <c r="C3820" s="947"/>
      <c r="D3820" s="947"/>
      <c r="E3820" s="947"/>
      <c r="H3820" s="840">
        <f t="shared" si="118"/>
        <v>0</v>
      </c>
      <c r="I3820" s="840">
        <f t="shared" si="119"/>
        <v>0</v>
      </c>
    </row>
    <row r="3821" spans="1:9" hidden="1">
      <c r="A3821" s="1079"/>
      <c r="B3821" s="475"/>
      <c r="C3821" s="947"/>
      <c r="D3821" s="947"/>
      <c r="E3821" s="947"/>
      <c r="H3821" s="840">
        <f t="shared" si="118"/>
        <v>0</v>
      </c>
      <c r="I3821" s="840">
        <f t="shared" si="119"/>
        <v>0</v>
      </c>
    </row>
    <row r="3822" spans="1:9" hidden="1">
      <c r="A3822" s="1079"/>
      <c r="B3822" s="475"/>
      <c r="C3822" s="947"/>
      <c r="D3822" s="947"/>
      <c r="E3822" s="947"/>
      <c r="H3822" s="840">
        <f t="shared" si="118"/>
        <v>0</v>
      </c>
      <c r="I3822" s="840">
        <f t="shared" si="119"/>
        <v>0</v>
      </c>
    </row>
    <row r="3823" spans="1:9" hidden="1">
      <c r="A3823" s="1079"/>
      <c r="B3823" s="475"/>
      <c r="C3823" s="908"/>
      <c r="D3823" s="908"/>
      <c r="E3823" s="905"/>
      <c r="H3823" s="840">
        <f t="shared" si="118"/>
        <v>0</v>
      </c>
      <c r="I3823" s="840">
        <f t="shared" si="119"/>
        <v>0</v>
      </c>
    </row>
    <row r="3824" spans="1:9" hidden="1">
      <c r="A3824" s="1079"/>
      <c r="B3824" s="475"/>
      <c r="C3824" s="916"/>
      <c r="D3824" s="916"/>
      <c r="E3824" s="905"/>
      <c r="H3824" s="840">
        <f t="shared" si="118"/>
        <v>0</v>
      </c>
      <c r="I3824" s="840">
        <f t="shared" si="119"/>
        <v>0</v>
      </c>
    </row>
    <row r="3825" spans="1:9">
      <c r="A3825" s="1148"/>
      <c r="B3825" s="461" t="s">
        <v>253</v>
      </c>
      <c r="C3825" s="919">
        <f>SUM(C3708:C3824)</f>
        <v>2067167</v>
      </c>
      <c r="D3825" s="919">
        <f>SUM(D3708:D3824)</f>
        <v>942331</v>
      </c>
      <c r="E3825" s="919">
        <f>SUM(E3708:E3824)</f>
        <v>1124836</v>
      </c>
      <c r="H3825" s="840">
        <f t="shared" si="118"/>
        <v>0</v>
      </c>
      <c r="I3825" s="840">
        <f t="shared" si="119"/>
        <v>4134334</v>
      </c>
    </row>
    <row r="3826" spans="1:9" ht="75">
      <c r="A3826" s="1078" t="s">
        <v>812</v>
      </c>
      <c r="B3826" s="475" t="s">
        <v>1556</v>
      </c>
      <c r="C3826" s="530">
        <v>35000</v>
      </c>
      <c r="D3826" s="530"/>
      <c r="E3826" s="905">
        <v>35000</v>
      </c>
      <c r="H3826" s="840">
        <f t="shared" si="118"/>
        <v>0</v>
      </c>
      <c r="I3826" s="840">
        <f t="shared" si="119"/>
        <v>70000</v>
      </c>
    </row>
    <row r="3827" spans="1:9" ht="75">
      <c r="A3827" s="1079"/>
      <c r="B3827" s="475" t="s">
        <v>1557</v>
      </c>
      <c r="C3827" s="530">
        <v>40000</v>
      </c>
      <c r="D3827" s="530"/>
      <c r="E3827" s="905">
        <v>40000</v>
      </c>
      <c r="H3827" s="840">
        <f t="shared" si="118"/>
        <v>0</v>
      </c>
      <c r="I3827" s="840">
        <f t="shared" si="119"/>
        <v>80000</v>
      </c>
    </row>
    <row r="3828" spans="1:9" ht="37.5">
      <c r="A3828" s="1079"/>
      <c r="B3828" s="475" t="s">
        <v>1558</v>
      </c>
      <c r="C3828" s="530">
        <v>10000</v>
      </c>
      <c r="D3828" s="530">
        <v>10000</v>
      </c>
      <c r="E3828" s="905"/>
      <c r="H3828" s="840">
        <f t="shared" si="118"/>
        <v>0</v>
      </c>
      <c r="I3828" s="840">
        <f t="shared" si="119"/>
        <v>20000</v>
      </c>
    </row>
    <row r="3829" spans="1:9" ht="37.5">
      <c r="A3829" s="1079"/>
      <c r="B3829" s="475" t="s">
        <v>1559</v>
      </c>
      <c r="C3829" s="530">
        <v>50000</v>
      </c>
      <c r="D3829" s="530">
        <v>50000</v>
      </c>
      <c r="E3829" s="905"/>
      <c r="H3829" s="840">
        <f t="shared" si="118"/>
        <v>0</v>
      </c>
      <c r="I3829" s="840">
        <f t="shared" si="119"/>
        <v>100000</v>
      </c>
    </row>
    <row r="3830" spans="1:9" ht="56.25">
      <c r="A3830" s="1079"/>
      <c r="B3830" s="475" t="s">
        <v>1936</v>
      </c>
      <c r="C3830" s="911">
        <v>30000</v>
      </c>
      <c r="D3830" s="911">
        <v>30000</v>
      </c>
      <c r="E3830" s="911"/>
      <c r="H3830" s="840">
        <f t="shared" si="118"/>
        <v>0</v>
      </c>
      <c r="I3830" s="840">
        <f t="shared" si="119"/>
        <v>60000</v>
      </c>
    </row>
    <row r="3831" spans="1:9" ht="56.25">
      <c r="A3831" s="1079"/>
      <c r="B3831" s="475" t="s">
        <v>2247</v>
      </c>
      <c r="C3831" s="908">
        <v>25000</v>
      </c>
      <c r="D3831" s="908"/>
      <c r="E3831" s="905">
        <v>25000</v>
      </c>
      <c r="H3831" s="840">
        <f t="shared" si="118"/>
        <v>0</v>
      </c>
      <c r="I3831" s="840">
        <f t="shared" si="119"/>
        <v>50000</v>
      </c>
    </row>
    <row r="3832" spans="1:9" ht="56.25">
      <c r="A3832" s="1079"/>
      <c r="B3832" s="475" t="s">
        <v>2248</v>
      </c>
      <c r="C3832" s="905">
        <v>9350</v>
      </c>
      <c r="D3832" s="905"/>
      <c r="E3832" s="905">
        <v>9350</v>
      </c>
      <c r="H3832" s="840">
        <f t="shared" si="118"/>
        <v>0</v>
      </c>
      <c r="I3832" s="840">
        <f t="shared" si="119"/>
        <v>18700</v>
      </c>
    </row>
    <row r="3833" spans="1:9" ht="56.25">
      <c r="A3833" s="1079"/>
      <c r="B3833" s="475" t="s">
        <v>3017</v>
      </c>
      <c r="C3833" s="908">
        <v>27824</v>
      </c>
      <c r="D3833" s="908">
        <v>27824</v>
      </c>
      <c r="E3833" s="905"/>
      <c r="H3833" s="840">
        <f t="shared" si="118"/>
        <v>0</v>
      </c>
      <c r="I3833" s="840">
        <f t="shared" si="119"/>
        <v>55648</v>
      </c>
    </row>
    <row r="3834" spans="1:9" ht="75">
      <c r="A3834" s="1079"/>
      <c r="B3834" s="535" t="s">
        <v>3018</v>
      </c>
      <c r="C3834" s="914">
        <v>3750</v>
      </c>
      <c r="D3834" s="914">
        <v>3750</v>
      </c>
      <c r="E3834" s="914"/>
      <c r="H3834" s="840">
        <f t="shared" si="118"/>
        <v>0</v>
      </c>
      <c r="I3834" s="840">
        <f t="shared" si="119"/>
        <v>7500</v>
      </c>
    </row>
    <row r="3835" spans="1:9" hidden="1">
      <c r="A3835" s="1079"/>
      <c r="B3835" s="475"/>
      <c r="C3835" s="916"/>
      <c r="D3835" s="916"/>
      <c r="E3835" s="916"/>
      <c r="H3835" s="840">
        <f t="shared" si="118"/>
        <v>0</v>
      </c>
      <c r="I3835" s="840">
        <f t="shared" si="119"/>
        <v>0</v>
      </c>
    </row>
    <row r="3836" spans="1:9" hidden="1">
      <c r="A3836" s="1079"/>
      <c r="B3836" s="475"/>
      <c r="C3836" s="916"/>
      <c r="D3836" s="916"/>
      <c r="E3836" s="905"/>
      <c r="H3836" s="840">
        <f t="shared" si="118"/>
        <v>0</v>
      </c>
      <c r="I3836" s="840">
        <f t="shared" si="119"/>
        <v>0</v>
      </c>
    </row>
    <row r="3837" spans="1:9" hidden="1">
      <c r="A3837" s="1079"/>
      <c r="B3837" s="475"/>
      <c r="C3837" s="916"/>
      <c r="D3837" s="916"/>
      <c r="E3837" s="905"/>
      <c r="H3837" s="840">
        <f t="shared" si="118"/>
        <v>0</v>
      </c>
      <c r="I3837" s="840">
        <f t="shared" si="119"/>
        <v>0</v>
      </c>
    </row>
    <row r="3838" spans="1:9" hidden="1">
      <c r="A3838" s="1079"/>
      <c r="B3838" s="475"/>
      <c r="C3838" s="916"/>
      <c r="D3838" s="916"/>
      <c r="E3838" s="905"/>
      <c r="H3838" s="840">
        <f t="shared" si="118"/>
        <v>0</v>
      </c>
      <c r="I3838" s="840">
        <f t="shared" si="119"/>
        <v>0</v>
      </c>
    </row>
    <row r="3839" spans="1:9" hidden="1">
      <c r="A3839" s="1079"/>
      <c r="B3839" s="475"/>
      <c r="C3839" s="916"/>
      <c r="D3839" s="916"/>
      <c r="E3839" s="905"/>
      <c r="H3839" s="840">
        <f t="shared" si="118"/>
        <v>0</v>
      </c>
      <c r="I3839" s="840">
        <f t="shared" si="119"/>
        <v>0</v>
      </c>
    </row>
    <row r="3840" spans="1:9" hidden="1">
      <c r="A3840" s="1079"/>
      <c r="B3840" s="475"/>
      <c r="C3840" s="916"/>
      <c r="D3840" s="916"/>
      <c r="E3840" s="905"/>
      <c r="H3840" s="840">
        <f t="shared" si="118"/>
        <v>0</v>
      </c>
      <c r="I3840" s="840">
        <f t="shared" si="119"/>
        <v>0</v>
      </c>
    </row>
    <row r="3841" spans="1:9" hidden="1">
      <c r="A3841" s="1079"/>
      <c r="B3841" s="475"/>
      <c r="C3841" s="916"/>
      <c r="D3841" s="916"/>
      <c r="E3841" s="905"/>
      <c r="H3841" s="840">
        <f t="shared" si="118"/>
        <v>0</v>
      </c>
      <c r="I3841" s="840">
        <f t="shared" si="119"/>
        <v>0</v>
      </c>
    </row>
    <row r="3842" spans="1:9" hidden="1">
      <c r="A3842" s="1079"/>
      <c r="B3842" s="475"/>
      <c r="C3842" s="916"/>
      <c r="D3842" s="916"/>
      <c r="E3842" s="905"/>
      <c r="H3842" s="840">
        <f t="shared" si="118"/>
        <v>0</v>
      </c>
      <c r="I3842" s="840">
        <f t="shared" si="119"/>
        <v>0</v>
      </c>
    </row>
    <row r="3843" spans="1:9" hidden="1">
      <c r="A3843" s="1079"/>
      <c r="B3843" s="475"/>
      <c r="C3843" s="916"/>
      <c r="D3843" s="916"/>
      <c r="E3843" s="905"/>
      <c r="H3843" s="840">
        <f t="shared" si="118"/>
        <v>0</v>
      </c>
      <c r="I3843" s="840">
        <f t="shared" si="119"/>
        <v>0</v>
      </c>
    </row>
    <row r="3844" spans="1:9" hidden="1">
      <c r="A3844" s="1079"/>
      <c r="B3844" s="475"/>
      <c r="C3844" s="916"/>
      <c r="D3844" s="916"/>
      <c r="E3844" s="905"/>
      <c r="H3844" s="840">
        <f t="shared" si="118"/>
        <v>0</v>
      </c>
      <c r="I3844" s="840">
        <f t="shared" si="119"/>
        <v>0</v>
      </c>
    </row>
    <row r="3845" spans="1:9" hidden="1">
      <c r="A3845" s="1079"/>
      <c r="B3845" s="475"/>
      <c r="C3845" s="916"/>
      <c r="D3845" s="916"/>
      <c r="E3845" s="905"/>
      <c r="H3845" s="840">
        <f t="shared" si="118"/>
        <v>0</v>
      </c>
      <c r="I3845" s="840">
        <f t="shared" si="119"/>
        <v>0</v>
      </c>
    </row>
    <row r="3846" spans="1:9" hidden="1">
      <c r="A3846" s="1079"/>
      <c r="B3846" s="475"/>
      <c r="C3846" s="916"/>
      <c r="D3846" s="916"/>
      <c r="E3846" s="905"/>
      <c r="H3846" s="840">
        <f t="shared" si="118"/>
        <v>0</v>
      </c>
      <c r="I3846" s="840">
        <f t="shared" si="119"/>
        <v>0</v>
      </c>
    </row>
    <row r="3847" spans="1:9" hidden="1">
      <c r="A3847" s="1079"/>
      <c r="B3847" s="475"/>
      <c r="C3847" s="916"/>
      <c r="D3847" s="916"/>
      <c r="E3847" s="905"/>
      <c r="H3847" s="840">
        <f t="shared" si="118"/>
        <v>0</v>
      </c>
      <c r="I3847" s="840">
        <f t="shared" si="119"/>
        <v>0</v>
      </c>
    </row>
    <row r="3848" spans="1:9" hidden="1">
      <c r="A3848" s="1079"/>
      <c r="B3848" s="475"/>
      <c r="C3848" s="916"/>
      <c r="D3848" s="916"/>
      <c r="E3848" s="905"/>
      <c r="H3848" s="840">
        <f t="shared" si="118"/>
        <v>0</v>
      </c>
      <c r="I3848" s="840">
        <f t="shared" si="119"/>
        <v>0</v>
      </c>
    </row>
    <row r="3849" spans="1:9" hidden="1">
      <c r="A3849" s="1079"/>
      <c r="B3849" s="475"/>
      <c r="C3849" s="916"/>
      <c r="D3849" s="916"/>
      <c r="E3849" s="905"/>
      <c r="H3849" s="840">
        <f t="shared" ref="H3849:H3912" si="120">E3849+D3849-C3849</f>
        <v>0</v>
      </c>
      <c r="I3849" s="840">
        <f t="shared" ref="I3849:I3912" si="121">SUM(C3849:E3849)</f>
        <v>0</v>
      </c>
    </row>
    <row r="3850" spans="1:9" hidden="1">
      <c r="A3850" s="1079"/>
      <c r="B3850" s="475"/>
      <c r="C3850" s="916"/>
      <c r="D3850" s="916"/>
      <c r="E3850" s="905"/>
      <c r="H3850" s="840">
        <f t="shared" si="120"/>
        <v>0</v>
      </c>
      <c r="I3850" s="840">
        <f t="shared" si="121"/>
        <v>0</v>
      </c>
    </row>
    <row r="3851" spans="1:9" hidden="1">
      <c r="A3851" s="1079"/>
      <c r="B3851" s="475"/>
      <c r="C3851" s="916"/>
      <c r="D3851" s="916"/>
      <c r="E3851" s="905"/>
      <c r="H3851" s="840">
        <f t="shared" si="120"/>
        <v>0</v>
      </c>
      <c r="I3851" s="840">
        <f t="shared" si="121"/>
        <v>0</v>
      </c>
    </row>
    <row r="3852" spans="1:9" hidden="1">
      <c r="A3852" s="1079"/>
      <c r="B3852" s="475"/>
      <c r="C3852" s="916"/>
      <c r="D3852" s="916"/>
      <c r="E3852" s="905"/>
      <c r="H3852" s="840">
        <f t="shared" si="120"/>
        <v>0</v>
      </c>
      <c r="I3852" s="840">
        <f t="shared" si="121"/>
        <v>0</v>
      </c>
    </row>
    <row r="3853" spans="1:9" hidden="1">
      <c r="A3853" s="1079"/>
      <c r="B3853" s="475"/>
      <c r="C3853" s="916"/>
      <c r="D3853" s="916"/>
      <c r="E3853" s="905"/>
      <c r="H3853" s="840">
        <f t="shared" si="120"/>
        <v>0</v>
      </c>
      <c r="I3853" s="840">
        <f t="shared" si="121"/>
        <v>0</v>
      </c>
    </row>
    <row r="3854" spans="1:9" hidden="1">
      <c r="A3854" s="1079"/>
      <c r="B3854" s="475"/>
      <c r="C3854" s="916"/>
      <c r="D3854" s="916"/>
      <c r="E3854" s="905"/>
      <c r="H3854" s="840">
        <f t="shared" si="120"/>
        <v>0</v>
      </c>
      <c r="I3854" s="840">
        <f t="shared" si="121"/>
        <v>0</v>
      </c>
    </row>
    <row r="3855" spans="1:9" hidden="1">
      <c r="A3855" s="1079"/>
      <c r="B3855" s="475"/>
      <c r="C3855" s="916"/>
      <c r="D3855" s="916"/>
      <c r="E3855" s="905"/>
      <c r="H3855" s="840">
        <f t="shared" si="120"/>
        <v>0</v>
      </c>
      <c r="I3855" s="840">
        <f t="shared" si="121"/>
        <v>0</v>
      </c>
    </row>
    <row r="3856" spans="1:9" hidden="1">
      <c r="A3856" s="1079"/>
      <c r="B3856" s="475"/>
      <c r="C3856" s="916"/>
      <c r="D3856" s="916"/>
      <c r="E3856" s="905"/>
      <c r="H3856" s="840">
        <f t="shared" si="120"/>
        <v>0</v>
      </c>
      <c r="I3856" s="840">
        <f t="shared" si="121"/>
        <v>0</v>
      </c>
    </row>
    <row r="3857" spans="1:9" hidden="1">
      <c r="A3857" s="1079"/>
      <c r="B3857" s="475"/>
      <c r="C3857" s="916"/>
      <c r="D3857" s="916"/>
      <c r="E3857" s="905"/>
      <c r="H3857" s="840">
        <f t="shared" si="120"/>
        <v>0</v>
      </c>
      <c r="I3857" s="840">
        <f t="shared" si="121"/>
        <v>0</v>
      </c>
    </row>
    <row r="3858" spans="1:9" hidden="1">
      <c r="A3858" s="1079"/>
      <c r="B3858" s="475"/>
      <c r="C3858" s="916"/>
      <c r="D3858" s="916"/>
      <c r="E3858" s="905"/>
      <c r="H3858" s="840">
        <f t="shared" si="120"/>
        <v>0</v>
      </c>
      <c r="I3858" s="840">
        <f t="shared" si="121"/>
        <v>0</v>
      </c>
    </row>
    <row r="3859" spans="1:9" hidden="1">
      <c r="A3859" s="1079"/>
      <c r="B3859" s="475"/>
      <c r="C3859" s="916"/>
      <c r="D3859" s="916"/>
      <c r="E3859" s="905"/>
      <c r="H3859" s="840">
        <f t="shared" si="120"/>
        <v>0</v>
      </c>
      <c r="I3859" s="840">
        <f t="shared" si="121"/>
        <v>0</v>
      </c>
    </row>
    <row r="3860" spans="1:9">
      <c r="A3860" s="1148"/>
      <c r="B3860" s="461" t="s">
        <v>253</v>
      </c>
      <c r="C3860" s="919">
        <f>SUM(C3826:C3859)</f>
        <v>230924</v>
      </c>
      <c r="D3860" s="919">
        <f>SUM(D3826:D3859)</f>
        <v>121574</v>
      </c>
      <c r="E3860" s="919">
        <f>SUM(E3826:E3859)</f>
        <v>109350</v>
      </c>
      <c r="H3860" s="840">
        <f t="shared" si="120"/>
        <v>0</v>
      </c>
      <c r="I3860" s="840">
        <f t="shared" si="121"/>
        <v>461848</v>
      </c>
    </row>
    <row r="3861" spans="1:9" ht="56.25">
      <c r="A3861" s="1078" t="s">
        <v>813</v>
      </c>
      <c r="B3861" s="535" t="s">
        <v>1677</v>
      </c>
      <c r="C3861" s="905">
        <v>50000</v>
      </c>
      <c r="D3861" s="905"/>
      <c r="E3861" s="905">
        <v>50000</v>
      </c>
      <c r="H3861" s="840">
        <f t="shared" si="120"/>
        <v>0</v>
      </c>
      <c r="I3861" s="840">
        <f t="shared" si="121"/>
        <v>100000</v>
      </c>
    </row>
    <row r="3862" spans="1:9" ht="56.25">
      <c r="A3862" s="1079"/>
      <c r="B3862" s="475" t="s">
        <v>2249</v>
      </c>
      <c r="C3862" s="905">
        <v>33255</v>
      </c>
      <c r="D3862" s="908"/>
      <c r="E3862" s="905">
        <v>33255</v>
      </c>
      <c r="H3862" s="840">
        <f t="shared" si="120"/>
        <v>0</v>
      </c>
      <c r="I3862" s="840">
        <f t="shared" si="121"/>
        <v>66510</v>
      </c>
    </row>
    <row r="3863" spans="1:9" ht="75">
      <c r="A3863" s="1079"/>
      <c r="B3863" s="475" t="s">
        <v>2633</v>
      </c>
      <c r="C3863" s="905">
        <v>30000</v>
      </c>
      <c r="D3863" s="905"/>
      <c r="E3863" s="905">
        <v>30000</v>
      </c>
      <c r="H3863" s="840">
        <f t="shared" si="120"/>
        <v>0</v>
      </c>
      <c r="I3863" s="840">
        <f t="shared" si="121"/>
        <v>60000</v>
      </c>
    </row>
    <row r="3864" spans="1:9" ht="37.5">
      <c r="A3864" s="1079"/>
      <c r="B3864" s="475" t="s">
        <v>3019</v>
      </c>
      <c r="C3864" s="905">
        <v>10000</v>
      </c>
      <c r="D3864" s="906"/>
      <c r="E3864" s="906">
        <v>10000</v>
      </c>
      <c r="H3864" s="840">
        <f t="shared" si="120"/>
        <v>0</v>
      </c>
      <c r="I3864" s="840">
        <f t="shared" si="121"/>
        <v>20000</v>
      </c>
    </row>
    <row r="3865" spans="1:9" ht="37.5">
      <c r="A3865" s="1079"/>
      <c r="B3865" s="475" t="s">
        <v>3020</v>
      </c>
      <c r="C3865" s="905">
        <v>5000</v>
      </c>
      <c r="D3865" s="906">
        <v>5000</v>
      </c>
      <c r="E3865" s="906"/>
      <c r="H3865" s="840">
        <f t="shared" si="120"/>
        <v>0</v>
      </c>
      <c r="I3865" s="840">
        <f t="shared" si="121"/>
        <v>10000</v>
      </c>
    </row>
    <row r="3866" spans="1:9" hidden="1">
      <c r="A3866" s="1079"/>
      <c r="B3866" s="475"/>
      <c r="C3866" s="916"/>
      <c r="D3866" s="916"/>
      <c r="E3866" s="916"/>
      <c r="H3866" s="840">
        <f t="shared" si="120"/>
        <v>0</v>
      </c>
      <c r="I3866" s="840">
        <f t="shared" si="121"/>
        <v>0</v>
      </c>
    </row>
    <row r="3867" spans="1:9" hidden="1">
      <c r="A3867" s="1079"/>
      <c r="B3867" s="475"/>
      <c r="C3867" s="916"/>
      <c r="D3867" s="916"/>
      <c r="E3867" s="916"/>
      <c r="H3867" s="840">
        <f t="shared" si="120"/>
        <v>0</v>
      </c>
      <c r="I3867" s="840">
        <f t="shared" si="121"/>
        <v>0</v>
      </c>
    </row>
    <row r="3868" spans="1:9" hidden="1">
      <c r="A3868" s="1079"/>
      <c r="B3868" s="475"/>
      <c r="C3868" s="916"/>
      <c r="D3868" s="916"/>
      <c r="E3868" s="916"/>
      <c r="H3868" s="840">
        <f t="shared" si="120"/>
        <v>0</v>
      </c>
      <c r="I3868" s="840">
        <f t="shared" si="121"/>
        <v>0</v>
      </c>
    </row>
    <row r="3869" spans="1:9" hidden="1">
      <c r="A3869" s="1079"/>
      <c r="B3869" s="475"/>
      <c r="C3869" s="916"/>
      <c r="D3869" s="916"/>
      <c r="E3869" s="916"/>
      <c r="H3869" s="840">
        <f t="shared" si="120"/>
        <v>0</v>
      </c>
      <c r="I3869" s="840">
        <f t="shared" si="121"/>
        <v>0</v>
      </c>
    </row>
    <row r="3870" spans="1:9" hidden="1">
      <c r="A3870" s="1079"/>
      <c r="B3870" s="475"/>
      <c r="C3870" s="916"/>
      <c r="D3870" s="916"/>
      <c r="E3870" s="916"/>
      <c r="H3870" s="840">
        <f t="shared" si="120"/>
        <v>0</v>
      </c>
      <c r="I3870" s="840">
        <f t="shared" si="121"/>
        <v>0</v>
      </c>
    </row>
    <row r="3871" spans="1:9" hidden="1">
      <c r="A3871" s="1079"/>
      <c r="B3871" s="475"/>
      <c r="C3871" s="916"/>
      <c r="D3871" s="916"/>
      <c r="E3871" s="905"/>
      <c r="H3871" s="840">
        <f t="shared" si="120"/>
        <v>0</v>
      </c>
      <c r="I3871" s="840">
        <f t="shared" si="121"/>
        <v>0</v>
      </c>
    </row>
    <row r="3872" spans="1:9" hidden="1">
      <c r="A3872" s="1079"/>
      <c r="B3872" s="475"/>
      <c r="C3872" s="916"/>
      <c r="D3872" s="916"/>
      <c r="E3872" s="905"/>
      <c r="H3872" s="840">
        <f t="shared" si="120"/>
        <v>0</v>
      </c>
      <c r="I3872" s="840">
        <f t="shared" si="121"/>
        <v>0</v>
      </c>
    </row>
    <row r="3873" spans="1:9" hidden="1">
      <c r="A3873" s="1079"/>
      <c r="B3873" s="475"/>
      <c r="C3873" s="916"/>
      <c r="D3873" s="916"/>
      <c r="E3873" s="905"/>
      <c r="H3873" s="840">
        <f t="shared" si="120"/>
        <v>0</v>
      </c>
      <c r="I3873" s="840">
        <f t="shared" si="121"/>
        <v>0</v>
      </c>
    </row>
    <row r="3874" spans="1:9" hidden="1">
      <c r="A3874" s="1079"/>
      <c r="B3874" s="475"/>
      <c r="C3874" s="916"/>
      <c r="D3874" s="916"/>
      <c r="E3874" s="905"/>
      <c r="H3874" s="840">
        <f t="shared" si="120"/>
        <v>0</v>
      </c>
      <c r="I3874" s="840">
        <f t="shared" si="121"/>
        <v>0</v>
      </c>
    </row>
    <row r="3875" spans="1:9" hidden="1">
      <c r="A3875" s="1079"/>
      <c r="B3875" s="475"/>
      <c r="C3875" s="916"/>
      <c r="D3875" s="916"/>
      <c r="E3875" s="905"/>
      <c r="H3875" s="840">
        <f t="shared" si="120"/>
        <v>0</v>
      </c>
      <c r="I3875" s="840">
        <f t="shared" si="121"/>
        <v>0</v>
      </c>
    </row>
    <row r="3876" spans="1:9" hidden="1">
      <c r="A3876" s="1079"/>
      <c r="B3876" s="475"/>
      <c r="C3876" s="916"/>
      <c r="D3876" s="916"/>
      <c r="E3876" s="905"/>
      <c r="H3876" s="840">
        <f t="shared" si="120"/>
        <v>0</v>
      </c>
      <c r="I3876" s="840">
        <f t="shared" si="121"/>
        <v>0</v>
      </c>
    </row>
    <row r="3877" spans="1:9" hidden="1">
      <c r="A3877" s="1079"/>
      <c r="B3877" s="475"/>
      <c r="C3877" s="916"/>
      <c r="D3877" s="916"/>
      <c r="E3877" s="905"/>
      <c r="H3877" s="840">
        <f t="shared" si="120"/>
        <v>0</v>
      </c>
      <c r="I3877" s="840">
        <f t="shared" si="121"/>
        <v>0</v>
      </c>
    </row>
    <row r="3878" spans="1:9" hidden="1">
      <c r="A3878" s="1079"/>
      <c r="B3878" s="475"/>
      <c r="C3878" s="916"/>
      <c r="D3878" s="916"/>
      <c r="E3878" s="905"/>
      <c r="H3878" s="840">
        <f t="shared" si="120"/>
        <v>0</v>
      </c>
      <c r="I3878" s="840">
        <f t="shared" si="121"/>
        <v>0</v>
      </c>
    </row>
    <row r="3879" spans="1:9" hidden="1">
      <c r="A3879" s="1079"/>
      <c r="B3879" s="475"/>
      <c r="C3879" s="916"/>
      <c r="D3879" s="916"/>
      <c r="E3879" s="905"/>
      <c r="H3879" s="840">
        <f t="shared" si="120"/>
        <v>0</v>
      </c>
      <c r="I3879" s="840">
        <f t="shared" si="121"/>
        <v>0</v>
      </c>
    </row>
    <row r="3880" spans="1:9" hidden="1">
      <c r="A3880" s="1079"/>
      <c r="B3880" s="475"/>
      <c r="C3880" s="916"/>
      <c r="D3880" s="916"/>
      <c r="E3880" s="905"/>
      <c r="H3880" s="840">
        <f t="shared" si="120"/>
        <v>0</v>
      </c>
      <c r="I3880" s="840">
        <f t="shared" si="121"/>
        <v>0</v>
      </c>
    </row>
    <row r="3881" spans="1:9" hidden="1">
      <c r="A3881" s="1079"/>
      <c r="B3881" s="475"/>
      <c r="C3881" s="916"/>
      <c r="D3881" s="916"/>
      <c r="E3881" s="905"/>
      <c r="H3881" s="840">
        <f t="shared" si="120"/>
        <v>0</v>
      </c>
      <c r="I3881" s="840">
        <f t="shared" si="121"/>
        <v>0</v>
      </c>
    </row>
    <row r="3882" spans="1:9" hidden="1">
      <c r="A3882" s="1079"/>
      <c r="B3882" s="475"/>
      <c r="C3882" s="916"/>
      <c r="D3882" s="916"/>
      <c r="E3882" s="905"/>
      <c r="H3882" s="840">
        <f t="shared" si="120"/>
        <v>0</v>
      </c>
      <c r="I3882" s="840">
        <f t="shared" si="121"/>
        <v>0</v>
      </c>
    </row>
    <row r="3883" spans="1:9" hidden="1">
      <c r="A3883" s="1079"/>
      <c r="B3883" s="475"/>
      <c r="C3883" s="916"/>
      <c r="D3883" s="916"/>
      <c r="E3883" s="905"/>
      <c r="H3883" s="840">
        <f t="shared" si="120"/>
        <v>0</v>
      </c>
      <c r="I3883" s="840">
        <f t="shared" si="121"/>
        <v>0</v>
      </c>
    </row>
    <row r="3884" spans="1:9" hidden="1">
      <c r="A3884" s="1079"/>
      <c r="B3884" s="475"/>
      <c r="C3884" s="916"/>
      <c r="D3884" s="916"/>
      <c r="E3884" s="905"/>
      <c r="H3884" s="840">
        <f t="shared" si="120"/>
        <v>0</v>
      </c>
      <c r="I3884" s="840">
        <f t="shared" si="121"/>
        <v>0</v>
      </c>
    </row>
    <row r="3885" spans="1:9" hidden="1">
      <c r="A3885" s="1079"/>
      <c r="B3885" s="475"/>
      <c r="C3885" s="916"/>
      <c r="D3885" s="916"/>
      <c r="E3885" s="905"/>
      <c r="H3885" s="840">
        <f t="shared" si="120"/>
        <v>0</v>
      </c>
      <c r="I3885" s="840">
        <f t="shared" si="121"/>
        <v>0</v>
      </c>
    </row>
    <row r="3886" spans="1:9" hidden="1">
      <c r="A3886" s="1079"/>
      <c r="B3886" s="475"/>
      <c r="C3886" s="916"/>
      <c r="D3886" s="916"/>
      <c r="E3886" s="905"/>
      <c r="H3886" s="840">
        <f t="shared" si="120"/>
        <v>0</v>
      </c>
      <c r="I3886" s="840">
        <f t="shared" si="121"/>
        <v>0</v>
      </c>
    </row>
    <row r="3887" spans="1:9" hidden="1">
      <c r="A3887" s="1079"/>
      <c r="B3887" s="475"/>
      <c r="C3887" s="916"/>
      <c r="D3887" s="916"/>
      <c r="E3887" s="905"/>
      <c r="H3887" s="840">
        <f t="shared" si="120"/>
        <v>0</v>
      </c>
      <c r="I3887" s="840">
        <f t="shared" si="121"/>
        <v>0</v>
      </c>
    </row>
    <row r="3888" spans="1:9" hidden="1">
      <c r="A3888" s="1079"/>
      <c r="B3888" s="475"/>
      <c r="C3888" s="916"/>
      <c r="D3888" s="916"/>
      <c r="E3888" s="905"/>
      <c r="H3888" s="840">
        <f t="shared" si="120"/>
        <v>0</v>
      </c>
      <c r="I3888" s="840">
        <f t="shared" si="121"/>
        <v>0</v>
      </c>
    </row>
    <row r="3889" spans="1:9" hidden="1">
      <c r="A3889" s="1079"/>
      <c r="B3889" s="475"/>
      <c r="C3889" s="916"/>
      <c r="D3889" s="916"/>
      <c r="E3889" s="905"/>
      <c r="H3889" s="840">
        <f t="shared" si="120"/>
        <v>0</v>
      </c>
      <c r="I3889" s="840">
        <f t="shared" si="121"/>
        <v>0</v>
      </c>
    </row>
    <row r="3890" spans="1:9" hidden="1">
      <c r="A3890" s="1079"/>
      <c r="B3890" s="475"/>
      <c r="C3890" s="916"/>
      <c r="D3890" s="916"/>
      <c r="E3890" s="905"/>
      <c r="H3890" s="840">
        <f t="shared" si="120"/>
        <v>0</v>
      </c>
      <c r="I3890" s="840">
        <f t="shared" si="121"/>
        <v>0</v>
      </c>
    </row>
    <row r="3891" spans="1:9" hidden="1">
      <c r="A3891" s="1079"/>
      <c r="B3891" s="475"/>
      <c r="C3891" s="916"/>
      <c r="D3891" s="916"/>
      <c r="E3891" s="905"/>
      <c r="H3891" s="840">
        <f t="shared" si="120"/>
        <v>0</v>
      </c>
      <c r="I3891" s="840">
        <f t="shared" si="121"/>
        <v>0</v>
      </c>
    </row>
    <row r="3892" spans="1:9" hidden="1">
      <c r="A3892" s="1079"/>
      <c r="B3892" s="475"/>
      <c r="C3892" s="916"/>
      <c r="D3892" s="916"/>
      <c r="E3892" s="905"/>
      <c r="H3892" s="840">
        <f t="shared" si="120"/>
        <v>0</v>
      </c>
      <c r="I3892" s="840">
        <f t="shared" si="121"/>
        <v>0</v>
      </c>
    </row>
    <row r="3893" spans="1:9" hidden="1">
      <c r="A3893" s="1079"/>
      <c r="B3893" s="475"/>
      <c r="C3893" s="916"/>
      <c r="D3893" s="916"/>
      <c r="E3893" s="905"/>
      <c r="H3893" s="840">
        <f t="shared" si="120"/>
        <v>0</v>
      </c>
      <c r="I3893" s="840">
        <f t="shared" si="121"/>
        <v>0</v>
      </c>
    </row>
    <row r="3894" spans="1:9" hidden="1">
      <c r="A3894" s="1079"/>
      <c r="B3894" s="475"/>
      <c r="C3894" s="916"/>
      <c r="D3894" s="916"/>
      <c r="E3894" s="905"/>
      <c r="H3894" s="840">
        <f t="shared" si="120"/>
        <v>0</v>
      </c>
      <c r="I3894" s="840">
        <f t="shared" si="121"/>
        <v>0</v>
      </c>
    </row>
    <row r="3895" spans="1:9">
      <c r="A3895" s="1148"/>
      <c r="B3895" s="461" t="s">
        <v>253</v>
      </c>
      <c r="C3895" s="919">
        <f>SUM(C3861:C3894)</f>
        <v>128255</v>
      </c>
      <c r="D3895" s="919">
        <f>SUM(D3861:D3894)</f>
        <v>5000</v>
      </c>
      <c r="E3895" s="919">
        <f>SUM(E3861:E3894)</f>
        <v>123255</v>
      </c>
      <c r="H3895" s="840">
        <f t="shared" si="120"/>
        <v>0</v>
      </c>
      <c r="I3895" s="840">
        <f t="shared" si="121"/>
        <v>256510</v>
      </c>
    </row>
    <row r="3896" spans="1:9" ht="37.5">
      <c r="A3896" s="1078" t="s">
        <v>814</v>
      </c>
      <c r="B3896" s="535" t="s">
        <v>1116</v>
      </c>
      <c r="C3896" s="905">
        <v>60000</v>
      </c>
      <c r="D3896" s="905"/>
      <c r="E3896" s="905">
        <v>60000</v>
      </c>
      <c r="H3896" s="840">
        <f t="shared" si="120"/>
        <v>0</v>
      </c>
      <c r="I3896" s="840">
        <f t="shared" si="121"/>
        <v>120000</v>
      </c>
    </row>
    <row r="3897" spans="1:9" ht="37.5">
      <c r="A3897" s="1079"/>
      <c r="B3897" s="475" t="s">
        <v>1937</v>
      </c>
      <c r="C3897" s="911">
        <v>100000</v>
      </c>
      <c r="D3897" s="911">
        <v>100000</v>
      </c>
      <c r="E3897" s="911"/>
      <c r="H3897" s="840">
        <f t="shared" si="120"/>
        <v>0</v>
      </c>
      <c r="I3897" s="840">
        <f t="shared" si="121"/>
        <v>200000</v>
      </c>
    </row>
    <row r="3898" spans="1:9" ht="56.25">
      <c r="A3898" s="1079"/>
      <c r="B3898" s="475" t="s">
        <v>2250</v>
      </c>
      <c r="C3898" s="908">
        <v>7000</v>
      </c>
      <c r="D3898" s="908"/>
      <c r="E3898" s="905">
        <v>7000</v>
      </c>
      <c r="H3898" s="840">
        <f t="shared" si="120"/>
        <v>0</v>
      </c>
      <c r="I3898" s="840">
        <f t="shared" si="121"/>
        <v>14000</v>
      </c>
    </row>
    <row r="3899" spans="1:9" ht="37.5">
      <c r="A3899" s="1079"/>
      <c r="B3899" s="475" t="s">
        <v>2634</v>
      </c>
      <c r="C3899" s="905">
        <v>100000</v>
      </c>
      <c r="D3899" s="905"/>
      <c r="E3899" s="905">
        <v>100000</v>
      </c>
      <c r="H3899" s="840">
        <f t="shared" si="120"/>
        <v>0</v>
      </c>
      <c r="I3899" s="840">
        <f t="shared" si="121"/>
        <v>200000</v>
      </c>
    </row>
    <row r="3900" spans="1:9" ht="56.25">
      <c r="A3900" s="1079"/>
      <c r="B3900" s="475" t="s">
        <v>3021</v>
      </c>
      <c r="C3900" s="908">
        <v>20000</v>
      </c>
      <c r="D3900" s="908"/>
      <c r="E3900" s="905">
        <v>20000</v>
      </c>
      <c r="H3900" s="840">
        <f t="shared" si="120"/>
        <v>0</v>
      </c>
      <c r="I3900" s="840">
        <f t="shared" si="121"/>
        <v>40000</v>
      </c>
    </row>
    <row r="3901" spans="1:9" ht="56.25">
      <c r="A3901" s="1079"/>
      <c r="B3901" s="535" t="s">
        <v>3022</v>
      </c>
      <c r="C3901" s="915">
        <v>35600</v>
      </c>
      <c r="D3901" s="915"/>
      <c r="E3901" s="914">
        <v>35600</v>
      </c>
      <c r="H3901" s="840">
        <f t="shared" si="120"/>
        <v>0</v>
      </c>
      <c r="I3901" s="840">
        <f t="shared" si="121"/>
        <v>71200</v>
      </c>
    </row>
    <row r="3902" spans="1:9" hidden="1">
      <c r="A3902" s="1079"/>
      <c r="B3902" s="475"/>
      <c r="C3902" s="916"/>
      <c r="D3902" s="916"/>
      <c r="E3902" s="916"/>
      <c r="H3902" s="840">
        <f t="shared" si="120"/>
        <v>0</v>
      </c>
      <c r="I3902" s="840">
        <f t="shared" si="121"/>
        <v>0</v>
      </c>
    </row>
    <row r="3903" spans="1:9" hidden="1">
      <c r="A3903" s="1079"/>
      <c r="B3903" s="475"/>
      <c r="C3903" s="916"/>
      <c r="D3903" s="916"/>
      <c r="E3903" s="916"/>
      <c r="H3903" s="840">
        <f t="shared" si="120"/>
        <v>0</v>
      </c>
      <c r="I3903" s="840">
        <f t="shared" si="121"/>
        <v>0</v>
      </c>
    </row>
    <row r="3904" spans="1:9" hidden="1">
      <c r="A3904" s="1079"/>
      <c r="B3904" s="475"/>
      <c r="C3904" s="916"/>
      <c r="D3904" s="916"/>
      <c r="E3904" s="916"/>
      <c r="H3904" s="840">
        <f t="shared" si="120"/>
        <v>0</v>
      </c>
      <c r="I3904" s="840">
        <f t="shared" si="121"/>
        <v>0</v>
      </c>
    </row>
    <row r="3905" spans="1:9" hidden="1">
      <c r="A3905" s="1079"/>
      <c r="B3905" s="475"/>
      <c r="C3905" s="916"/>
      <c r="D3905" s="916"/>
      <c r="E3905" s="916"/>
      <c r="H3905" s="840">
        <f t="shared" si="120"/>
        <v>0</v>
      </c>
      <c r="I3905" s="840">
        <f t="shared" si="121"/>
        <v>0</v>
      </c>
    </row>
    <row r="3906" spans="1:9" hidden="1">
      <c r="A3906" s="1079"/>
      <c r="B3906" s="475"/>
      <c r="C3906" s="916"/>
      <c r="D3906" s="916"/>
      <c r="E3906" s="905"/>
      <c r="H3906" s="840">
        <f t="shared" si="120"/>
        <v>0</v>
      </c>
      <c r="I3906" s="840">
        <f t="shared" si="121"/>
        <v>0</v>
      </c>
    </row>
    <row r="3907" spans="1:9" hidden="1">
      <c r="A3907" s="1079"/>
      <c r="B3907" s="475"/>
      <c r="C3907" s="916"/>
      <c r="D3907" s="916"/>
      <c r="E3907" s="905"/>
      <c r="H3907" s="840">
        <f t="shared" si="120"/>
        <v>0</v>
      </c>
      <c r="I3907" s="840">
        <f t="shared" si="121"/>
        <v>0</v>
      </c>
    </row>
    <row r="3908" spans="1:9" hidden="1">
      <c r="A3908" s="1079"/>
      <c r="B3908" s="475"/>
      <c r="C3908" s="916"/>
      <c r="D3908" s="916"/>
      <c r="E3908" s="905"/>
      <c r="H3908" s="840">
        <f t="shared" si="120"/>
        <v>0</v>
      </c>
      <c r="I3908" s="840">
        <f t="shared" si="121"/>
        <v>0</v>
      </c>
    </row>
    <row r="3909" spans="1:9" hidden="1">
      <c r="A3909" s="1079"/>
      <c r="B3909" s="475"/>
      <c r="C3909" s="916"/>
      <c r="D3909" s="916"/>
      <c r="E3909" s="905"/>
      <c r="H3909" s="840">
        <f t="shared" si="120"/>
        <v>0</v>
      </c>
      <c r="I3909" s="840">
        <f t="shared" si="121"/>
        <v>0</v>
      </c>
    </row>
    <row r="3910" spans="1:9" hidden="1">
      <c r="A3910" s="1079"/>
      <c r="B3910" s="475"/>
      <c r="C3910" s="916"/>
      <c r="D3910" s="916"/>
      <c r="E3910" s="905"/>
      <c r="H3910" s="840">
        <f t="shared" si="120"/>
        <v>0</v>
      </c>
      <c r="I3910" s="840">
        <f t="shared" si="121"/>
        <v>0</v>
      </c>
    </row>
    <row r="3911" spans="1:9" hidden="1">
      <c r="A3911" s="1079"/>
      <c r="B3911" s="475"/>
      <c r="C3911" s="916"/>
      <c r="D3911" s="916"/>
      <c r="E3911" s="905"/>
      <c r="H3911" s="840">
        <f t="shared" si="120"/>
        <v>0</v>
      </c>
      <c r="I3911" s="840">
        <f t="shared" si="121"/>
        <v>0</v>
      </c>
    </row>
    <row r="3912" spans="1:9" hidden="1">
      <c r="A3912" s="1079"/>
      <c r="B3912" s="475"/>
      <c r="C3912" s="916"/>
      <c r="D3912" s="916"/>
      <c r="E3912" s="905"/>
      <c r="H3912" s="840">
        <f t="shared" si="120"/>
        <v>0</v>
      </c>
      <c r="I3912" s="840">
        <f t="shared" si="121"/>
        <v>0</v>
      </c>
    </row>
    <row r="3913" spans="1:9" hidden="1">
      <c r="A3913" s="1079"/>
      <c r="B3913" s="475"/>
      <c r="C3913" s="916"/>
      <c r="D3913" s="916"/>
      <c r="E3913" s="905"/>
      <c r="H3913" s="840">
        <f t="shared" ref="H3913:H3976" si="122">E3913+D3913-C3913</f>
        <v>0</v>
      </c>
      <c r="I3913" s="840">
        <f t="shared" ref="I3913:I3976" si="123">SUM(C3913:E3913)</f>
        <v>0</v>
      </c>
    </row>
    <row r="3914" spans="1:9" hidden="1">
      <c r="A3914" s="1079"/>
      <c r="B3914" s="475"/>
      <c r="C3914" s="916"/>
      <c r="D3914" s="916"/>
      <c r="E3914" s="905"/>
      <c r="H3914" s="840">
        <f t="shared" si="122"/>
        <v>0</v>
      </c>
      <c r="I3914" s="840">
        <f t="shared" si="123"/>
        <v>0</v>
      </c>
    </row>
    <row r="3915" spans="1:9" hidden="1">
      <c r="A3915" s="1079"/>
      <c r="B3915" s="475"/>
      <c r="C3915" s="916"/>
      <c r="D3915" s="916"/>
      <c r="E3915" s="905"/>
      <c r="H3915" s="840">
        <f t="shared" si="122"/>
        <v>0</v>
      </c>
      <c r="I3915" s="840">
        <f t="shared" si="123"/>
        <v>0</v>
      </c>
    </row>
    <row r="3916" spans="1:9" hidden="1">
      <c r="A3916" s="1079"/>
      <c r="B3916" s="475"/>
      <c r="C3916" s="916"/>
      <c r="D3916" s="916"/>
      <c r="E3916" s="905"/>
      <c r="H3916" s="840">
        <f t="shared" si="122"/>
        <v>0</v>
      </c>
      <c r="I3916" s="840">
        <f t="shared" si="123"/>
        <v>0</v>
      </c>
    </row>
    <row r="3917" spans="1:9" hidden="1">
      <c r="A3917" s="1079"/>
      <c r="B3917" s="475"/>
      <c r="C3917" s="916"/>
      <c r="D3917" s="916"/>
      <c r="E3917" s="905"/>
      <c r="H3917" s="840">
        <f t="shared" si="122"/>
        <v>0</v>
      </c>
      <c r="I3917" s="840">
        <f t="shared" si="123"/>
        <v>0</v>
      </c>
    </row>
    <row r="3918" spans="1:9" hidden="1">
      <c r="A3918" s="1079"/>
      <c r="B3918" s="475"/>
      <c r="C3918" s="916"/>
      <c r="D3918" s="916"/>
      <c r="E3918" s="905"/>
      <c r="H3918" s="840">
        <f t="shared" si="122"/>
        <v>0</v>
      </c>
      <c r="I3918" s="840">
        <f t="shared" si="123"/>
        <v>0</v>
      </c>
    </row>
    <row r="3919" spans="1:9" hidden="1">
      <c r="A3919" s="1079"/>
      <c r="B3919" s="475"/>
      <c r="C3919" s="916"/>
      <c r="D3919" s="916"/>
      <c r="E3919" s="905"/>
      <c r="H3919" s="840">
        <f t="shared" si="122"/>
        <v>0</v>
      </c>
      <c r="I3919" s="840">
        <f t="shared" si="123"/>
        <v>0</v>
      </c>
    </row>
    <row r="3920" spans="1:9" hidden="1">
      <c r="A3920" s="1079"/>
      <c r="B3920" s="475"/>
      <c r="C3920" s="916"/>
      <c r="D3920" s="916"/>
      <c r="E3920" s="905"/>
      <c r="H3920" s="840">
        <f t="shared" si="122"/>
        <v>0</v>
      </c>
      <c r="I3920" s="840">
        <f t="shared" si="123"/>
        <v>0</v>
      </c>
    </row>
    <row r="3921" spans="1:9" hidden="1">
      <c r="A3921" s="1079"/>
      <c r="B3921" s="475"/>
      <c r="C3921" s="916"/>
      <c r="D3921" s="916"/>
      <c r="E3921" s="905"/>
      <c r="H3921" s="840">
        <f t="shared" si="122"/>
        <v>0</v>
      </c>
      <c r="I3921" s="840">
        <f t="shared" si="123"/>
        <v>0</v>
      </c>
    </row>
    <row r="3922" spans="1:9" hidden="1">
      <c r="A3922" s="1079"/>
      <c r="B3922" s="475"/>
      <c r="C3922" s="916"/>
      <c r="D3922" s="916"/>
      <c r="E3922" s="905"/>
      <c r="H3922" s="840">
        <f t="shared" si="122"/>
        <v>0</v>
      </c>
      <c r="I3922" s="840">
        <f t="shared" si="123"/>
        <v>0</v>
      </c>
    </row>
    <row r="3923" spans="1:9" hidden="1">
      <c r="A3923" s="1079"/>
      <c r="B3923" s="475"/>
      <c r="C3923" s="916"/>
      <c r="D3923" s="916"/>
      <c r="E3923" s="905"/>
      <c r="H3923" s="840">
        <f t="shared" si="122"/>
        <v>0</v>
      </c>
      <c r="I3923" s="840">
        <f t="shared" si="123"/>
        <v>0</v>
      </c>
    </row>
    <row r="3924" spans="1:9" hidden="1">
      <c r="A3924" s="1079"/>
      <c r="B3924" s="475"/>
      <c r="C3924" s="916"/>
      <c r="D3924" s="916"/>
      <c r="E3924" s="905"/>
      <c r="H3924" s="840">
        <f t="shared" si="122"/>
        <v>0</v>
      </c>
      <c r="I3924" s="840">
        <f t="shared" si="123"/>
        <v>0</v>
      </c>
    </row>
    <row r="3925" spans="1:9" hidden="1">
      <c r="A3925" s="1079"/>
      <c r="B3925" s="475"/>
      <c r="C3925" s="916"/>
      <c r="D3925" s="916"/>
      <c r="E3925" s="905"/>
      <c r="H3925" s="840">
        <f t="shared" si="122"/>
        <v>0</v>
      </c>
      <c r="I3925" s="840">
        <f t="shared" si="123"/>
        <v>0</v>
      </c>
    </row>
    <row r="3926" spans="1:9" hidden="1">
      <c r="A3926" s="1079"/>
      <c r="B3926" s="475"/>
      <c r="C3926" s="916"/>
      <c r="D3926" s="916"/>
      <c r="E3926" s="905"/>
      <c r="H3926" s="840">
        <f t="shared" si="122"/>
        <v>0</v>
      </c>
      <c r="I3926" s="840">
        <f t="shared" si="123"/>
        <v>0</v>
      </c>
    </row>
    <row r="3927" spans="1:9" hidden="1">
      <c r="A3927" s="1079"/>
      <c r="B3927" s="475"/>
      <c r="C3927" s="916"/>
      <c r="D3927" s="916"/>
      <c r="E3927" s="905"/>
      <c r="H3927" s="840">
        <f t="shared" si="122"/>
        <v>0</v>
      </c>
      <c r="I3927" s="840">
        <f t="shared" si="123"/>
        <v>0</v>
      </c>
    </row>
    <row r="3928" spans="1:9" hidden="1">
      <c r="A3928" s="1079"/>
      <c r="B3928" s="475"/>
      <c r="C3928" s="916"/>
      <c r="D3928" s="916"/>
      <c r="E3928" s="905"/>
      <c r="H3928" s="840">
        <f t="shared" si="122"/>
        <v>0</v>
      </c>
      <c r="I3928" s="840">
        <f t="shared" si="123"/>
        <v>0</v>
      </c>
    </row>
    <row r="3929" spans="1:9" hidden="1">
      <c r="A3929" s="1079"/>
      <c r="B3929" s="475"/>
      <c r="C3929" s="916"/>
      <c r="D3929" s="916"/>
      <c r="E3929" s="905"/>
      <c r="H3929" s="840">
        <f t="shared" si="122"/>
        <v>0</v>
      </c>
      <c r="I3929" s="840">
        <f t="shared" si="123"/>
        <v>0</v>
      </c>
    </row>
    <row r="3930" spans="1:9">
      <c r="A3930" s="1148"/>
      <c r="B3930" s="461" t="s">
        <v>253</v>
      </c>
      <c r="C3930" s="919">
        <f>SUM(C3896:C3929)</f>
        <v>322600</v>
      </c>
      <c r="D3930" s="919">
        <f>SUM(D3896:D3929)</f>
        <v>100000</v>
      </c>
      <c r="E3930" s="919">
        <f>SUM(E3896:E3929)</f>
        <v>222600</v>
      </c>
      <c r="H3930" s="840">
        <f t="shared" si="122"/>
        <v>0</v>
      </c>
      <c r="I3930" s="840">
        <f t="shared" si="123"/>
        <v>645200</v>
      </c>
    </row>
    <row r="3931" spans="1:9" ht="56.25">
      <c r="A3931" s="1078" t="s">
        <v>808</v>
      </c>
      <c r="B3931" s="475" t="s">
        <v>950</v>
      </c>
      <c r="C3931" s="932">
        <v>180000</v>
      </c>
      <c r="D3931" s="932"/>
      <c r="E3931" s="932">
        <v>180000</v>
      </c>
      <c r="H3931" s="840">
        <f t="shared" si="122"/>
        <v>0</v>
      </c>
      <c r="I3931" s="840">
        <f t="shared" si="123"/>
        <v>360000</v>
      </c>
    </row>
    <row r="3932" spans="1:9" ht="56.25">
      <c r="A3932" s="1079"/>
      <c r="B3932" s="535" t="s">
        <v>1117</v>
      </c>
      <c r="C3932" s="905">
        <v>12000</v>
      </c>
      <c r="D3932" s="905"/>
      <c r="E3932" s="905">
        <v>12000</v>
      </c>
      <c r="H3932" s="840">
        <f t="shared" si="122"/>
        <v>0</v>
      </c>
      <c r="I3932" s="840">
        <f t="shared" si="123"/>
        <v>24000</v>
      </c>
    </row>
    <row r="3933" spans="1:9" ht="37.5">
      <c r="A3933" s="1079"/>
      <c r="B3933" s="535" t="s">
        <v>1118</v>
      </c>
      <c r="C3933" s="905">
        <v>28000</v>
      </c>
      <c r="D3933" s="905"/>
      <c r="E3933" s="905">
        <v>28000</v>
      </c>
      <c r="H3933" s="840">
        <f t="shared" si="122"/>
        <v>0</v>
      </c>
      <c r="I3933" s="840">
        <f t="shared" si="123"/>
        <v>56000</v>
      </c>
    </row>
    <row r="3934" spans="1:9" ht="75">
      <c r="A3934" s="1079"/>
      <c r="B3934" s="475" t="s">
        <v>1560</v>
      </c>
      <c r="C3934" s="530">
        <v>18000</v>
      </c>
      <c r="D3934" s="530"/>
      <c r="E3934" s="905">
        <v>18000</v>
      </c>
      <c r="H3934" s="840">
        <f t="shared" si="122"/>
        <v>0</v>
      </c>
      <c r="I3934" s="840">
        <f t="shared" si="123"/>
        <v>36000</v>
      </c>
    </row>
    <row r="3935" spans="1:9" ht="93.75">
      <c r="A3935" s="1079"/>
      <c r="B3935" s="475" t="s">
        <v>1561</v>
      </c>
      <c r="C3935" s="905">
        <v>30000</v>
      </c>
      <c r="D3935" s="905">
        <v>30000</v>
      </c>
      <c r="E3935" s="932"/>
      <c r="H3935" s="840">
        <f t="shared" si="122"/>
        <v>0</v>
      </c>
      <c r="I3935" s="840">
        <f t="shared" si="123"/>
        <v>60000</v>
      </c>
    </row>
    <row r="3936" spans="1:9" ht="56.25">
      <c r="A3936" s="1079"/>
      <c r="B3936" s="475" t="s">
        <v>2340</v>
      </c>
      <c r="C3936" s="905">
        <v>21000</v>
      </c>
      <c r="D3936" s="905"/>
      <c r="E3936" s="932">
        <v>21000</v>
      </c>
      <c r="H3936" s="840">
        <f t="shared" si="122"/>
        <v>0</v>
      </c>
      <c r="I3936" s="840">
        <f t="shared" si="123"/>
        <v>42000</v>
      </c>
    </row>
    <row r="3937" spans="1:9" ht="56.25">
      <c r="A3937" s="1079"/>
      <c r="B3937" s="475" t="s">
        <v>1562</v>
      </c>
      <c r="C3937" s="905">
        <v>16000</v>
      </c>
      <c r="D3937" s="905">
        <v>16000</v>
      </c>
      <c r="E3937" s="932"/>
      <c r="H3937" s="840">
        <f t="shared" si="122"/>
        <v>0</v>
      </c>
      <c r="I3937" s="840">
        <f t="shared" si="123"/>
        <v>32000</v>
      </c>
    </row>
    <row r="3938" spans="1:9" ht="75">
      <c r="A3938" s="1079"/>
      <c r="B3938" s="475" t="s">
        <v>1563</v>
      </c>
      <c r="C3938" s="905">
        <v>10000</v>
      </c>
      <c r="D3938" s="905"/>
      <c r="E3938" s="932">
        <v>10000</v>
      </c>
      <c r="H3938" s="840">
        <f t="shared" si="122"/>
        <v>0</v>
      </c>
      <c r="I3938" s="840">
        <f t="shared" si="123"/>
        <v>20000</v>
      </c>
    </row>
    <row r="3939" spans="1:9" ht="56.25">
      <c r="A3939" s="1079"/>
      <c r="B3939" s="475" t="s">
        <v>1564</v>
      </c>
      <c r="C3939" s="905">
        <v>26000</v>
      </c>
      <c r="D3939" s="905">
        <v>4000</v>
      </c>
      <c r="E3939" s="932">
        <v>22000</v>
      </c>
      <c r="H3939" s="840">
        <f t="shared" si="122"/>
        <v>0</v>
      </c>
      <c r="I3939" s="840">
        <f t="shared" si="123"/>
        <v>52000</v>
      </c>
    </row>
    <row r="3940" spans="1:9" ht="75">
      <c r="A3940" s="1079"/>
      <c r="B3940" s="475" t="s">
        <v>1565</v>
      </c>
      <c r="C3940" s="530">
        <v>6000</v>
      </c>
      <c r="D3940" s="530">
        <v>6000</v>
      </c>
      <c r="E3940" s="905"/>
      <c r="H3940" s="840">
        <f t="shared" si="122"/>
        <v>0</v>
      </c>
      <c r="I3940" s="840">
        <f t="shared" si="123"/>
        <v>12000</v>
      </c>
    </row>
    <row r="3941" spans="1:9" ht="56.25">
      <c r="A3941" s="1079"/>
      <c r="B3941" s="475" t="s">
        <v>1566</v>
      </c>
      <c r="C3941" s="530">
        <v>35000</v>
      </c>
      <c r="D3941" s="530">
        <v>35000</v>
      </c>
      <c r="E3941" s="905"/>
      <c r="H3941" s="840">
        <f t="shared" si="122"/>
        <v>0</v>
      </c>
      <c r="I3941" s="840">
        <f t="shared" si="123"/>
        <v>70000</v>
      </c>
    </row>
    <row r="3942" spans="1:9" ht="75">
      <c r="A3942" s="1079"/>
      <c r="B3942" s="475" t="s">
        <v>1567</v>
      </c>
      <c r="C3942" s="530">
        <v>30000</v>
      </c>
      <c r="D3942" s="530">
        <v>30000</v>
      </c>
      <c r="E3942" s="905"/>
      <c r="H3942" s="840">
        <f t="shared" si="122"/>
        <v>0</v>
      </c>
      <c r="I3942" s="840">
        <f t="shared" si="123"/>
        <v>60000</v>
      </c>
    </row>
    <row r="3943" spans="1:9" ht="112.5">
      <c r="A3943" s="1079"/>
      <c r="B3943" s="475" t="s">
        <v>1568</v>
      </c>
      <c r="C3943" s="905">
        <v>40000</v>
      </c>
      <c r="D3943" s="905">
        <v>40000</v>
      </c>
      <c r="E3943" s="932"/>
      <c r="H3943" s="840">
        <f t="shared" si="122"/>
        <v>0</v>
      </c>
      <c r="I3943" s="840">
        <f t="shared" si="123"/>
        <v>80000</v>
      </c>
    </row>
    <row r="3944" spans="1:9" ht="93.75">
      <c r="A3944" s="1079"/>
      <c r="B3944" s="535" t="s">
        <v>1822</v>
      </c>
      <c r="C3944" s="908">
        <v>16078</v>
      </c>
      <c r="D3944" s="908"/>
      <c r="E3944" s="905">
        <v>16078</v>
      </c>
      <c r="H3944" s="840">
        <f t="shared" si="122"/>
        <v>0</v>
      </c>
      <c r="I3944" s="840">
        <f t="shared" si="123"/>
        <v>32156</v>
      </c>
    </row>
    <row r="3945" spans="1:9" ht="56.25" hidden="1">
      <c r="A3945" s="1079"/>
      <c r="B3945" s="889" t="s">
        <v>1938</v>
      </c>
      <c r="C3945" s="909">
        <f>35000-35000</f>
        <v>0</v>
      </c>
      <c r="D3945" s="909"/>
      <c r="E3945" s="909">
        <f>35000-35000</f>
        <v>0</v>
      </c>
      <c r="H3945" s="840">
        <f t="shared" si="122"/>
        <v>0</v>
      </c>
      <c r="I3945" s="840">
        <f t="shared" si="123"/>
        <v>0</v>
      </c>
    </row>
    <row r="3946" spans="1:9" ht="56.25">
      <c r="A3946" s="1079"/>
      <c r="B3946" s="535" t="s">
        <v>2251</v>
      </c>
      <c r="C3946" s="908">
        <v>23000</v>
      </c>
      <c r="D3946" s="908">
        <v>23000</v>
      </c>
      <c r="E3946" s="905"/>
      <c r="H3946" s="840">
        <f t="shared" si="122"/>
        <v>0</v>
      </c>
      <c r="I3946" s="840">
        <f t="shared" si="123"/>
        <v>46000</v>
      </c>
    </row>
    <row r="3947" spans="1:9" ht="93.75">
      <c r="A3947" s="1079"/>
      <c r="B3947" s="535" t="s">
        <v>2252</v>
      </c>
      <c r="C3947" s="908">
        <v>50000</v>
      </c>
      <c r="D3947" s="908"/>
      <c r="E3947" s="905">
        <v>50000</v>
      </c>
      <c r="H3947" s="840">
        <f t="shared" si="122"/>
        <v>0</v>
      </c>
      <c r="I3947" s="840">
        <f t="shared" si="123"/>
        <v>100000</v>
      </c>
    </row>
    <row r="3948" spans="1:9" ht="56.25">
      <c r="A3948" s="1079"/>
      <c r="B3948" s="475" t="s">
        <v>2253</v>
      </c>
      <c r="C3948" s="908">
        <v>20000</v>
      </c>
      <c r="D3948" s="908"/>
      <c r="E3948" s="905">
        <v>20000</v>
      </c>
      <c r="H3948" s="840">
        <f t="shared" si="122"/>
        <v>0</v>
      </c>
      <c r="I3948" s="840">
        <f t="shared" si="123"/>
        <v>40000</v>
      </c>
    </row>
    <row r="3949" spans="1:9" ht="75">
      <c r="A3949" s="1079"/>
      <c r="B3949" s="535" t="s">
        <v>3174</v>
      </c>
      <c r="C3949" s="905">
        <v>40000</v>
      </c>
      <c r="D3949" s="905">
        <v>40000</v>
      </c>
      <c r="E3949" s="905">
        <f>40000-40000</f>
        <v>0</v>
      </c>
      <c r="H3949" s="840">
        <f t="shared" si="122"/>
        <v>0</v>
      </c>
      <c r="I3949" s="840">
        <f t="shared" si="123"/>
        <v>80000</v>
      </c>
    </row>
    <row r="3950" spans="1:9" ht="56.25">
      <c r="A3950" s="1079"/>
      <c r="B3950" s="475" t="s">
        <v>2254</v>
      </c>
      <c r="C3950" s="905">
        <v>10000</v>
      </c>
      <c r="D3950" s="905">
        <v>10000</v>
      </c>
      <c r="E3950" s="905"/>
      <c r="H3950" s="840">
        <f t="shared" si="122"/>
        <v>0</v>
      </c>
      <c r="I3950" s="840">
        <f t="shared" si="123"/>
        <v>20000</v>
      </c>
    </row>
    <row r="3951" spans="1:9" ht="75">
      <c r="A3951" s="1079"/>
      <c r="B3951" s="475" t="s">
        <v>2255</v>
      </c>
      <c r="C3951" s="905">
        <v>28000</v>
      </c>
      <c r="D3951" s="905"/>
      <c r="E3951" s="905">
        <v>28000</v>
      </c>
      <c r="H3951" s="840">
        <f t="shared" si="122"/>
        <v>0</v>
      </c>
      <c r="I3951" s="840">
        <f t="shared" si="123"/>
        <v>56000</v>
      </c>
    </row>
    <row r="3952" spans="1:9" ht="112.5">
      <c r="A3952" s="1079"/>
      <c r="B3952" s="475" t="s">
        <v>2256</v>
      </c>
      <c r="C3952" s="905">
        <v>40000</v>
      </c>
      <c r="D3952" s="905"/>
      <c r="E3952" s="905">
        <v>40000</v>
      </c>
      <c r="H3952" s="840">
        <f t="shared" si="122"/>
        <v>0</v>
      </c>
      <c r="I3952" s="840">
        <f t="shared" si="123"/>
        <v>80000</v>
      </c>
    </row>
    <row r="3953" spans="1:9" ht="75">
      <c r="A3953" s="1079"/>
      <c r="B3953" s="475" t="s">
        <v>2257</v>
      </c>
      <c r="C3953" s="905">
        <v>10000</v>
      </c>
      <c r="D3953" s="905"/>
      <c r="E3953" s="905">
        <v>10000</v>
      </c>
      <c r="H3953" s="840">
        <f t="shared" si="122"/>
        <v>0</v>
      </c>
      <c r="I3953" s="840">
        <f t="shared" si="123"/>
        <v>20000</v>
      </c>
    </row>
    <row r="3954" spans="1:9" ht="56.25">
      <c r="A3954" s="1079"/>
      <c r="B3954" s="475" t="s">
        <v>2635</v>
      </c>
      <c r="C3954" s="905">
        <v>80000</v>
      </c>
      <c r="D3954" s="905">
        <v>80000</v>
      </c>
      <c r="E3954" s="905"/>
      <c r="H3954" s="840">
        <f t="shared" si="122"/>
        <v>0</v>
      </c>
      <c r="I3954" s="840">
        <f t="shared" si="123"/>
        <v>160000</v>
      </c>
    </row>
    <row r="3955" spans="1:9" ht="56.25">
      <c r="A3955" s="1079"/>
      <c r="B3955" s="846" t="s">
        <v>3023</v>
      </c>
      <c r="C3955" s="905">
        <v>10000</v>
      </c>
      <c r="D3955" s="904"/>
      <c r="E3955" s="904">
        <v>10000</v>
      </c>
      <c r="H3955" s="840">
        <f t="shared" si="122"/>
        <v>0</v>
      </c>
      <c r="I3955" s="840">
        <f t="shared" si="123"/>
        <v>20000</v>
      </c>
    </row>
    <row r="3956" spans="1:9" ht="112.5">
      <c r="A3956" s="1079"/>
      <c r="B3956" s="846" t="s">
        <v>3024</v>
      </c>
      <c r="C3956" s="905">
        <v>25000</v>
      </c>
      <c r="D3956" s="904"/>
      <c r="E3956" s="904">
        <v>25000</v>
      </c>
      <c r="H3956" s="840">
        <f t="shared" si="122"/>
        <v>0</v>
      </c>
      <c r="I3956" s="840">
        <f t="shared" si="123"/>
        <v>50000</v>
      </c>
    </row>
    <row r="3957" spans="1:9" ht="112.5">
      <c r="A3957" s="1079"/>
      <c r="B3957" s="846" t="s">
        <v>3025</v>
      </c>
      <c r="C3957" s="905">
        <v>30000</v>
      </c>
      <c r="D3957" s="904">
        <v>20000</v>
      </c>
      <c r="E3957" s="904">
        <v>10000</v>
      </c>
      <c r="H3957" s="840">
        <f t="shared" si="122"/>
        <v>0</v>
      </c>
      <c r="I3957" s="840">
        <f t="shared" si="123"/>
        <v>60000</v>
      </c>
    </row>
    <row r="3958" spans="1:9" ht="37.5">
      <c r="A3958" s="1079"/>
      <c r="B3958" s="740" t="s">
        <v>3026</v>
      </c>
      <c r="C3958" s="905">
        <v>30000</v>
      </c>
      <c r="D3958" s="904">
        <v>30000</v>
      </c>
      <c r="E3958" s="904"/>
      <c r="H3958" s="840">
        <f t="shared" si="122"/>
        <v>0</v>
      </c>
      <c r="I3958" s="840">
        <f t="shared" si="123"/>
        <v>60000</v>
      </c>
    </row>
    <row r="3959" spans="1:9" ht="93.75">
      <c r="A3959" s="1079"/>
      <c r="B3959" s="475" t="s">
        <v>3027</v>
      </c>
      <c r="C3959" s="908">
        <v>52500</v>
      </c>
      <c r="D3959" s="908"/>
      <c r="E3959" s="905">
        <v>52500</v>
      </c>
      <c r="H3959" s="840">
        <f t="shared" si="122"/>
        <v>0</v>
      </c>
      <c r="I3959" s="840">
        <f t="shared" si="123"/>
        <v>105000</v>
      </c>
    </row>
    <row r="3960" spans="1:9" ht="56.25">
      <c r="A3960" s="1079"/>
      <c r="B3960" s="475" t="s">
        <v>3028</v>
      </c>
      <c r="C3960" s="908">
        <v>20000</v>
      </c>
      <c r="D3960" s="908">
        <v>5000</v>
      </c>
      <c r="E3960" s="905">
        <v>15000</v>
      </c>
      <c r="H3960" s="840">
        <f t="shared" si="122"/>
        <v>0</v>
      </c>
      <c r="I3960" s="840">
        <f t="shared" si="123"/>
        <v>40000</v>
      </c>
    </row>
    <row r="3961" spans="1:9" ht="75">
      <c r="A3961" s="1079"/>
      <c r="B3961" s="475" t="s">
        <v>3142</v>
      </c>
      <c r="C3961" s="908">
        <v>35000</v>
      </c>
      <c r="D3961" s="908">
        <v>35000</v>
      </c>
      <c r="E3961" s="905"/>
      <c r="H3961" s="840" t="e">
        <f>#REF!+#REF!-#REF!</f>
        <v>#REF!</v>
      </c>
      <c r="I3961" s="840">
        <f t="shared" si="123"/>
        <v>70000</v>
      </c>
    </row>
    <row r="3962" spans="1:9" hidden="1">
      <c r="A3962" s="1079"/>
      <c r="B3962" s="475"/>
      <c r="C3962" s="916"/>
      <c r="D3962" s="916"/>
      <c r="E3962" s="905"/>
      <c r="H3962" s="840">
        <f t="shared" si="122"/>
        <v>0</v>
      </c>
      <c r="I3962" s="840">
        <f t="shared" si="123"/>
        <v>0</v>
      </c>
    </row>
    <row r="3963" spans="1:9" hidden="1">
      <c r="A3963" s="1079"/>
      <c r="B3963" s="475"/>
      <c r="C3963" s="916"/>
      <c r="D3963" s="916"/>
      <c r="E3963" s="905"/>
      <c r="H3963" s="840">
        <f t="shared" si="122"/>
        <v>0</v>
      </c>
      <c r="I3963" s="840">
        <f t="shared" si="123"/>
        <v>0</v>
      </c>
    </row>
    <row r="3964" spans="1:9" hidden="1">
      <c r="A3964" s="1079"/>
      <c r="B3964" s="475"/>
      <c r="C3964" s="916"/>
      <c r="D3964" s="916"/>
      <c r="E3964" s="905"/>
      <c r="H3964" s="840">
        <f t="shared" si="122"/>
        <v>0</v>
      </c>
      <c r="I3964" s="840">
        <f t="shared" si="123"/>
        <v>0</v>
      </c>
    </row>
    <row r="3965" spans="1:9">
      <c r="A3965" s="1148"/>
      <c r="B3965" s="461" t="s">
        <v>253</v>
      </c>
      <c r="C3965" s="919">
        <f>SUM(C3931:C3964)</f>
        <v>971578</v>
      </c>
      <c r="D3965" s="919">
        <f>SUM(D3931:D3964)</f>
        <v>404000</v>
      </c>
      <c r="E3965" s="919">
        <f>SUM(E3931:E3964)</f>
        <v>567578</v>
      </c>
      <c r="H3965" s="840">
        <f t="shared" si="122"/>
        <v>0</v>
      </c>
      <c r="I3965" s="840">
        <f t="shared" si="123"/>
        <v>1943156</v>
      </c>
    </row>
    <row r="3966" spans="1:9" ht="37.5">
      <c r="A3966" s="1078" t="s">
        <v>805</v>
      </c>
      <c r="B3966" s="535" t="s">
        <v>1119</v>
      </c>
      <c r="C3966" s="905">
        <v>50000</v>
      </c>
      <c r="D3966" s="905"/>
      <c r="E3966" s="905">
        <v>50000</v>
      </c>
      <c r="H3966" s="840">
        <f t="shared" si="122"/>
        <v>0</v>
      </c>
      <c r="I3966" s="840">
        <f t="shared" si="123"/>
        <v>100000</v>
      </c>
    </row>
    <row r="3967" spans="1:9" ht="112.5">
      <c r="A3967" s="1079"/>
      <c r="B3967" s="475" t="s">
        <v>953</v>
      </c>
      <c r="C3967" s="530">
        <f>200000-100000</f>
        <v>100000</v>
      </c>
      <c r="D3967" s="530"/>
      <c r="E3967" s="905">
        <f>200000-100000</f>
        <v>100000</v>
      </c>
      <c r="H3967" s="840">
        <f t="shared" si="122"/>
        <v>0</v>
      </c>
      <c r="I3967" s="840">
        <f t="shared" si="123"/>
        <v>200000</v>
      </c>
    </row>
    <row r="3968" spans="1:9" ht="75">
      <c r="A3968" s="1079"/>
      <c r="B3968" s="475" t="s">
        <v>1569</v>
      </c>
      <c r="C3968" s="530">
        <v>25000</v>
      </c>
      <c r="D3968" s="530">
        <v>25000</v>
      </c>
      <c r="E3968" s="905"/>
      <c r="H3968" s="840">
        <f t="shared" si="122"/>
        <v>0</v>
      </c>
      <c r="I3968" s="840">
        <f t="shared" si="123"/>
        <v>50000</v>
      </c>
    </row>
    <row r="3969" spans="1:9" ht="93.75">
      <c r="A3969" s="1079"/>
      <c r="B3969" s="475" t="s">
        <v>1570</v>
      </c>
      <c r="C3969" s="530">
        <f>50350-4008</f>
        <v>46342</v>
      </c>
      <c r="D3969" s="530">
        <v>19342</v>
      </c>
      <c r="E3969" s="905">
        <f>31008-4008</f>
        <v>27000</v>
      </c>
      <c r="H3969" s="840">
        <f t="shared" si="122"/>
        <v>0</v>
      </c>
      <c r="I3969" s="840">
        <f t="shared" si="123"/>
        <v>92684</v>
      </c>
    </row>
    <row r="3970" spans="1:9" ht="56.25">
      <c r="A3970" s="1079"/>
      <c r="B3970" s="475" t="s">
        <v>1812</v>
      </c>
      <c r="C3970" s="908">
        <v>4008</v>
      </c>
      <c r="D3970" s="908">
        <v>4008</v>
      </c>
      <c r="E3970" s="905"/>
      <c r="H3970" s="840">
        <f t="shared" si="122"/>
        <v>0</v>
      </c>
      <c r="I3970" s="840">
        <f t="shared" si="123"/>
        <v>8016</v>
      </c>
    </row>
    <row r="3971" spans="1:9" ht="75">
      <c r="A3971" s="1079"/>
      <c r="B3971" s="475" t="s">
        <v>1571</v>
      </c>
      <c r="C3971" s="530">
        <v>30000</v>
      </c>
      <c r="D3971" s="530"/>
      <c r="E3971" s="905">
        <v>30000</v>
      </c>
      <c r="H3971" s="840">
        <f t="shared" si="122"/>
        <v>0</v>
      </c>
      <c r="I3971" s="840">
        <f t="shared" si="123"/>
        <v>60000</v>
      </c>
    </row>
    <row r="3972" spans="1:9" ht="93.75">
      <c r="A3972" s="1079"/>
      <c r="B3972" s="475" t="s">
        <v>1572</v>
      </c>
      <c r="C3972" s="530">
        <v>26686</v>
      </c>
      <c r="D3972" s="530">
        <v>7186</v>
      </c>
      <c r="E3972" s="905">
        <v>19500</v>
      </c>
      <c r="H3972" s="840">
        <f t="shared" si="122"/>
        <v>0</v>
      </c>
      <c r="I3972" s="840">
        <f t="shared" si="123"/>
        <v>53372</v>
      </c>
    </row>
    <row r="3973" spans="1:9" ht="56.25">
      <c r="A3973" s="1079"/>
      <c r="B3973" s="475" t="s">
        <v>1573</v>
      </c>
      <c r="C3973" s="530">
        <v>10000</v>
      </c>
      <c r="D3973" s="530">
        <v>10000</v>
      </c>
      <c r="E3973" s="905">
        <f>10000-10000</f>
        <v>0</v>
      </c>
      <c r="H3973" s="840">
        <f t="shared" si="122"/>
        <v>0</v>
      </c>
      <c r="I3973" s="840">
        <f t="shared" si="123"/>
        <v>20000</v>
      </c>
    </row>
    <row r="3974" spans="1:9" ht="93.75">
      <c r="A3974" s="1079"/>
      <c r="B3974" s="475" t="s">
        <v>1574</v>
      </c>
      <c r="C3974" s="530">
        <v>30478</v>
      </c>
      <c r="D3974" s="530">
        <v>30478</v>
      </c>
      <c r="E3974" s="905"/>
      <c r="H3974" s="840">
        <f t="shared" si="122"/>
        <v>0</v>
      </c>
      <c r="I3974" s="840">
        <f t="shared" si="123"/>
        <v>60956</v>
      </c>
    </row>
    <row r="3975" spans="1:9" ht="93.75">
      <c r="A3975" s="1079"/>
      <c r="B3975" s="475" t="s">
        <v>1789</v>
      </c>
      <c r="C3975" s="908">
        <v>24000</v>
      </c>
      <c r="D3975" s="908">
        <v>9000</v>
      </c>
      <c r="E3975" s="905">
        <v>15000</v>
      </c>
      <c r="H3975" s="840">
        <f t="shared" si="122"/>
        <v>0</v>
      </c>
      <c r="I3975" s="840">
        <f t="shared" si="123"/>
        <v>48000</v>
      </c>
    </row>
    <row r="3976" spans="1:9" ht="93.75">
      <c r="A3976" s="1079"/>
      <c r="B3976" s="475" t="s">
        <v>1789</v>
      </c>
      <c r="C3976" s="908">
        <v>26000</v>
      </c>
      <c r="D3976" s="908">
        <v>26000</v>
      </c>
      <c r="E3976" s="905"/>
      <c r="H3976" s="840">
        <f t="shared" si="122"/>
        <v>0</v>
      </c>
      <c r="I3976" s="840">
        <f t="shared" si="123"/>
        <v>52000</v>
      </c>
    </row>
    <row r="3977" spans="1:9" ht="37.5">
      <c r="A3977" s="1079"/>
      <c r="B3977" s="475" t="s">
        <v>1119</v>
      </c>
      <c r="C3977" s="911">
        <v>50000</v>
      </c>
      <c r="D3977" s="911"/>
      <c r="E3977" s="911">
        <v>50000</v>
      </c>
      <c r="H3977" s="840">
        <f t="shared" ref="H3977:H4039" si="124">E3977+D3977-C3977</f>
        <v>0</v>
      </c>
      <c r="I3977" s="840">
        <f t="shared" ref="I3977:I4040" si="125">SUM(C3977:E3977)</f>
        <v>100000</v>
      </c>
    </row>
    <row r="3978" spans="1:9" ht="75">
      <c r="A3978" s="1079"/>
      <c r="B3978" s="475" t="s">
        <v>2258</v>
      </c>
      <c r="C3978" s="908">
        <v>10000</v>
      </c>
      <c r="D3978" s="908">
        <v>10000</v>
      </c>
      <c r="E3978" s="905"/>
      <c r="H3978" s="840">
        <f t="shared" si="124"/>
        <v>0</v>
      </c>
      <c r="I3978" s="840">
        <f t="shared" si="125"/>
        <v>20000</v>
      </c>
    </row>
    <row r="3979" spans="1:9" ht="56.25">
      <c r="A3979" s="1079"/>
      <c r="B3979" s="475" t="s">
        <v>2259</v>
      </c>
      <c r="C3979" s="908">
        <v>165000</v>
      </c>
      <c r="D3979" s="908">
        <v>165000</v>
      </c>
      <c r="E3979" s="905"/>
      <c r="H3979" s="840">
        <f t="shared" si="124"/>
        <v>0</v>
      </c>
      <c r="I3979" s="840">
        <f t="shared" si="125"/>
        <v>330000</v>
      </c>
    </row>
    <row r="3980" spans="1:9" ht="56.25">
      <c r="A3980" s="1079"/>
      <c r="B3980" s="475" t="s">
        <v>2260</v>
      </c>
      <c r="C3980" s="908">
        <v>100000</v>
      </c>
      <c r="D3980" s="905">
        <v>100000</v>
      </c>
      <c r="E3980" s="905"/>
      <c r="H3980" s="840">
        <f t="shared" si="124"/>
        <v>0</v>
      </c>
      <c r="I3980" s="840">
        <f t="shared" si="125"/>
        <v>200000</v>
      </c>
    </row>
    <row r="3981" spans="1:9" ht="112.5">
      <c r="A3981" s="1079"/>
      <c r="B3981" s="475" t="s">
        <v>2261</v>
      </c>
      <c r="C3981" s="908">
        <v>5000</v>
      </c>
      <c r="D3981" s="908">
        <v>5000</v>
      </c>
      <c r="E3981" s="905"/>
      <c r="H3981" s="840">
        <f t="shared" si="124"/>
        <v>0</v>
      </c>
      <c r="I3981" s="840">
        <f t="shared" si="125"/>
        <v>10000</v>
      </c>
    </row>
    <row r="3982" spans="1:9" ht="56.25">
      <c r="A3982" s="1079"/>
      <c r="B3982" s="475" t="s">
        <v>2262</v>
      </c>
      <c r="C3982" s="908">
        <v>5000</v>
      </c>
      <c r="D3982" s="908">
        <v>5000</v>
      </c>
      <c r="E3982" s="905"/>
      <c r="H3982" s="840">
        <f t="shared" si="124"/>
        <v>0</v>
      </c>
      <c r="I3982" s="840">
        <f t="shared" si="125"/>
        <v>10000</v>
      </c>
    </row>
    <row r="3983" spans="1:9" ht="37.5">
      <c r="A3983" s="1079"/>
      <c r="B3983" s="475" t="s">
        <v>2500</v>
      </c>
      <c r="C3983" s="908">
        <v>16000</v>
      </c>
      <c r="D3983" s="908">
        <v>16000</v>
      </c>
      <c r="E3983" s="905"/>
      <c r="H3983" s="840">
        <f t="shared" si="124"/>
        <v>0</v>
      </c>
      <c r="I3983" s="840">
        <f t="shared" si="125"/>
        <v>32000</v>
      </c>
    </row>
    <row r="3984" spans="1:9" ht="93.75">
      <c r="A3984" s="1079"/>
      <c r="B3984" s="475" t="s">
        <v>2501</v>
      </c>
      <c r="C3984" s="908">
        <v>54000</v>
      </c>
      <c r="D3984" s="908">
        <v>54000</v>
      </c>
      <c r="E3984" s="905"/>
      <c r="H3984" s="840">
        <f t="shared" si="124"/>
        <v>0</v>
      </c>
      <c r="I3984" s="840">
        <f t="shared" si="125"/>
        <v>108000</v>
      </c>
    </row>
    <row r="3985" spans="1:9" ht="37.5">
      <c r="A3985" s="1079"/>
      <c r="B3985" s="475" t="s">
        <v>2502</v>
      </c>
      <c r="C3985" s="908">
        <v>16883</v>
      </c>
      <c r="D3985" s="908">
        <v>16883</v>
      </c>
      <c r="E3985" s="905"/>
      <c r="H3985" s="840">
        <f t="shared" si="124"/>
        <v>0</v>
      </c>
      <c r="I3985" s="840">
        <f t="shared" si="125"/>
        <v>33766</v>
      </c>
    </row>
    <row r="3986" spans="1:9" ht="75">
      <c r="A3986" s="1079"/>
      <c r="B3986" s="475" t="s">
        <v>2636</v>
      </c>
      <c r="C3986" s="905">
        <v>70000</v>
      </c>
      <c r="D3986" s="905">
        <v>70000</v>
      </c>
      <c r="E3986" s="905"/>
      <c r="H3986" s="840">
        <f t="shared" si="124"/>
        <v>0</v>
      </c>
      <c r="I3986" s="840">
        <f t="shared" si="125"/>
        <v>140000</v>
      </c>
    </row>
    <row r="3987" spans="1:9" ht="75">
      <c r="A3987" s="1079"/>
      <c r="B3987" s="475" t="s">
        <v>2637</v>
      </c>
      <c r="C3987" s="905">
        <v>50000</v>
      </c>
      <c r="D3987" s="905">
        <v>3955</v>
      </c>
      <c r="E3987" s="905">
        <v>46045</v>
      </c>
      <c r="H3987" s="840">
        <f t="shared" si="124"/>
        <v>0</v>
      </c>
      <c r="I3987" s="840">
        <f t="shared" si="125"/>
        <v>100000</v>
      </c>
    </row>
    <row r="3988" spans="1:9" ht="56.25">
      <c r="A3988" s="1079"/>
      <c r="B3988" s="475" t="s">
        <v>3029</v>
      </c>
      <c r="C3988" s="915">
        <v>10000</v>
      </c>
      <c r="D3988" s="915"/>
      <c r="E3988" s="914">
        <v>10000</v>
      </c>
      <c r="H3988" s="840">
        <f t="shared" si="124"/>
        <v>0</v>
      </c>
      <c r="I3988" s="840">
        <f t="shared" si="125"/>
        <v>20000</v>
      </c>
    </row>
    <row r="3989" spans="1:9" ht="56.25">
      <c r="A3989" s="1079"/>
      <c r="B3989" s="475" t="s">
        <v>3030</v>
      </c>
      <c r="C3989" s="905">
        <v>8400</v>
      </c>
      <c r="D3989" s="905">
        <v>8400</v>
      </c>
      <c r="E3989" s="905"/>
      <c r="H3989" s="840">
        <f t="shared" si="124"/>
        <v>0</v>
      </c>
      <c r="I3989" s="840">
        <f t="shared" si="125"/>
        <v>16800</v>
      </c>
    </row>
    <row r="3990" spans="1:9" ht="37.5">
      <c r="A3990" s="1079"/>
      <c r="B3990" s="475" t="s">
        <v>3031</v>
      </c>
      <c r="C3990" s="905">
        <v>60941</v>
      </c>
      <c r="D3990" s="908">
        <v>60941</v>
      </c>
      <c r="E3990" s="905"/>
      <c r="H3990" s="840">
        <f t="shared" si="124"/>
        <v>0</v>
      </c>
      <c r="I3990" s="840">
        <f t="shared" si="125"/>
        <v>121882</v>
      </c>
    </row>
    <row r="3991" spans="1:9" ht="75">
      <c r="A3991" s="1079"/>
      <c r="B3991" s="846" t="s">
        <v>3032</v>
      </c>
      <c r="C3991" s="912">
        <v>120441</v>
      </c>
      <c r="D3991" s="905"/>
      <c r="E3991" s="948">
        <v>120441</v>
      </c>
      <c r="H3991" s="840">
        <f t="shared" si="124"/>
        <v>0</v>
      </c>
      <c r="I3991" s="840">
        <f t="shared" si="125"/>
        <v>240882</v>
      </c>
    </row>
    <row r="3992" spans="1:9" ht="56.25">
      <c r="A3992" s="1079"/>
      <c r="B3992" s="846" t="s">
        <v>3033</v>
      </c>
      <c r="C3992" s="912">
        <v>8000</v>
      </c>
      <c r="D3992" s="905"/>
      <c r="E3992" s="948">
        <v>8000</v>
      </c>
      <c r="H3992" s="840">
        <f t="shared" si="124"/>
        <v>0</v>
      </c>
      <c r="I3992" s="840">
        <f t="shared" si="125"/>
        <v>16000</v>
      </c>
    </row>
    <row r="3993" spans="1:9" ht="56.25">
      <c r="A3993" s="1079"/>
      <c r="B3993" s="451" t="s">
        <v>3034</v>
      </c>
      <c r="C3993" s="912">
        <v>14000</v>
      </c>
      <c r="D3993" s="905">
        <v>14000</v>
      </c>
      <c r="E3993" s="948"/>
      <c r="H3993" s="840">
        <f t="shared" si="124"/>
        <v>0</v>
      </c>
      <c r="I3993" s="840">
        <f t="shared" si="125"/>
        <v>28000</v>
      </c>
    </row>
    <row r="3994" spans="1:9" ht="75">
      <c r="A3994" s="1079"/>
      <c r="B3994" s="451" t="s">
        <v>3035</v>
      </c>
      <c r="C3994" s="912">
        <v>10000</v>
      </c>
      <c r="D3994" s="905"/>
      <c r="E3994" s="948">
        <v>10000</v>
      </c>
      <c r="H3994" s="840">
        <f t="shared" si="124"/>
        <v>0</v>
      </c>
      <c r="I3994" s="840">
        <f t="shared" si="125"/>
        <v>20000</v>
      </c>
    </row>
    <row r="3995" spans="1:9" hidden="1">
      <c r="A3995" s="1079"/>
      <c r="B3995" s="475"/>
      <c r="C3995" s="916"/>
      <c r="D3995" s="916"/>
      <c r="E3995" s="905"/>
      <c r="H3995" s="840">
        <f t="shared" si="124"/>
        <v>0</v>
      </c>
      <c r="I3995" s="840">
        <f t="shared" si="125"/>
        <v>0</v>
      </c>
    </row>
    <row r="3996" spans="1:9" hidden="1">
      <c r="A3996" s="1079"/>
      <c r="B3996" s="475"/>
      <c r="C3996" s="916"/>
      <c r="D3996" s="916"/>
      <c r="E3996" s="905"/>
      <c r="H3996" s="840">
        <f t="shared" si="124"/>
        <v>0</v>
      </c>
      <c r="I3996" s="840">
        <f t="shared" si="125"/>
        <v>0</v>
      </c>
    </row>
    <row r="3997" spans="1:9" hidden="1">
      <c r="A3997" s="1079"/>
      <c r="B3997" s="475"/>
      <c r="C3997" s="916"/>
      <c r="D3997" s="916"/>
      <c r="E3997" s="905"/>
      <c r="H3997" s="840">
        <f t="shared" si="124"/>
        <v>0</v>
      </c>
      <c r="I3997" s="840">
        <f t="shared" si="125"/>
        <v>0</v>
      </c>
    </row>
    <row r="3998" spans="1:9" hidden="1">
      <c r="A3998" s="1079"/>
      <c r="B3998" s="475"/>
      <c r="C3998" s="916"/>
      <c r="D3998" s="916"/>
      <c r="E3998" s="905"/>
      <c r="H3998" s="840">
        <f t="shared" si="124"/>
        <v>0</v>
      </c>
      <c r="I3998" s="840">
        <f t="shared" si="125"/>
        <v>0</v>
      </c>
    </row>
    <row r="3999" spans="1:9" hidden="1">
      <c r="A3999" s="1079"/>
      <c r="B3999" s="475"/>
      <c r="C3999" s="916"/>
      <c r="D3999" s="916"/>
      <c r="E3999" s="905"/>
      <c r="H3999" s="840">
        <f t="shared" si="124"/>
        <v>0</v>
      </c>
      <c r="I3999" s="840">
        <f t="shared" si="125"/>
        <v>0</v>
      </c>
    </row>
    <row r="4000" spans="1:9">
      <c r="A4000" s="1148"/>
      <c r="B4000" s="461" t="s">
        <v>253</v>
      </c>
      <c r="C4000" s="919">
        <f>SUM(C3966:C3999)</f>
        <v>1146179</v>
      </c>
      <c r="D4000" s="919">
        <f>SUM(D3966:D3999)</f>
        <v>660193</v>
      </c>
      <c r="E4000" s="919">
        <f>SUM(E3966:E3999)</f>
        <v>485986</v>
      </c>
      <c r="H4000" s="840">
        <f t="shared" si="124"/>
        <v>0</v>
      </c>
      <c r="I4000" s="840">
        <f t="shared" si="125"/>
        <v>2292358</v>
      </c>
    </row>
    <row r="4001" spans="1:9" ht="37.5">
      <c r="A4001" s="1078" t="s">
        <v>815</v>
      </c>
      <c r="B4001" s="475" t="s">
        <v>1575</v>
      </c>
      <c r="C4001" s="530">
        <v>15000</v>
      </c>
      <c r="D4001" s="530"/>
      <c r="E4001" s="905">
        <v>15000</v>
      </c>
      <c r="H4001" s="840">
        <f t="shared" si="124"/>
        <v>0</v>
      </c>
      <c r="I4001" s="840">
        <f t="shared" si="125"/>
        <v>30000</v>
      </c>
    </row>
    <row r="4002" spans="1:9" ht="75">
      <c r="A4002" s="1079"/>
      <c r="B4002" s="475" t="s">
        <v>1576</v>
      </c>
      <c r="C4002" s="530">
        <v>30000</v>
      </c>
      <c r="D4002" s="530">
        <v>11000</v>
      </c>
      <c r="E4002" s="905">
        <v>19000</v>
      </c>
      <c r="H4002" s="840">
        <f t="shared" si="124"/>
        <v>0</v>
      </c>
      <c r="I4002" s="840">
        <f t="shared" si="125"/>
        <v>60000</v>
      </c>
    </row>
    <row r="4003" spans="1:9" ht="56.25">
      <c r="A4003" s="1079"/>
      <c r="B4003" s="475" t="s">
        <v>1577</v>
      </c>
      <c r="C4003" s="530">
        <v>20000</v>
      </c>
      <c r="D4003" s="530">
        <v>20000</v>
      </c>
      <c r="E4003" s="905"/>
      <c r="H4003" s="840">
        <f t="shared" si="124"/>
        <v>0</v>
      </c>
      <c r="I4003" s="840">
        <f t="shared" si="125"/>
        <v>40000</v>
      </c>
    </row>
    <row r="4004" spans="1:9" ht="37.5">
      <c r="A4004" s="1079"/>
      <c r="B4004" s="475" t="s">
        <v>1578</v>
      </c>
      <c r="C4004" s="530">
        <v>20000</v>
      </c>
      <c r="D4004" s="530">
        <v>20000</v>
      </c>
      <c r="E4004" s="905"/>
      <c r="H4004" s="840">
        <f t="shared" si="124"/>
        <v>0</v>
      </c>
      <c r="I4004" s="840">
        <f t="shared" si="125"/>
        <v>40000</v>
      </c>
    </row>
    <row r="4005" spans="1:9" ht="56.25">
      <c r="A4005" s="1079"/>
      <c r="B4005" s="475" t="s">
        <v>1802</v>
      </c>
      <c r="C4005" s="908">
        <v>11000</v>
      </c>
      <c r="D4005" s="908">
        <v>11000</v>
      </c>
      <c r="E4005" s="905"/>
      <c r="H4005" s="840">
        <f t="shared" si="124"/>
        <v>0</v>
      </c>
      <c r="I4005" s="840">
        <f t="shared" si="125"/>
        <v>22000</v>
      </c>
    </row>
    <row r="4006" spans="1:9" ht="37.5">
      <c r="A4006" s="1079"/>
      <c r="B4006" s="475" t="s">
        <v>2263</v>
      </c>
      <c r="C4006" s="908">
        <v>20000</v>
      </c>
      <c r="D4006" s="908">
        <v>20000</v>
      </c>
      <c r="E4006" s="905"/>
      <c r="H4006" s="840">
        <f t="shared" si="124"/>
        <v>0</v>
      </c>
      <c r="I4006" s="840">
        <f t="shared" si="125"/>
        <v>40000</v>
      </c>
    </row>
    <row r="4007" spans="1:9" ht="56.25">
      <c r="A4007" s="1079"/>
      <c r="B4007" s="475" t="s">
        <v>2264</v>
      </c>
      <c r="C4007" s="908">
        <v>15000</v>
      </c>
      <c r="D4007" s="908">
        <v>2000</v>
      </c>
      <c r="E4007" s="905">
        <v>13000</v>
      </c>
      <c r="H4007" s="840">
        <f t="shared" si="124"/>
        <v>0</v>
      </c>
      <c r="I4007" s="840">
        <f t="shared" si="125"/>
        <v>30000</v>
      </c>
    </row>
    <row r="4008" spans="1:9" ht="112.5">
      <c r="A4008" s="1079"/>
      <c r="B4008" s="475" t="s">
        <v>2265</v>
      </c>
      <c r="C4008" s="908">
        <v>15000</v>
      </c>
      <c r="D4008" s="908">
        <v>15000</v>
      </c>
      <c r="E4008" s="905"/>
      <c r="H4008" s="840">
        <f t="shared" si="124"/>
        <v>0</v>
      </c>
      <c r="I4008" s="840">
        <f t="shared" si="125"/>
        <v>30000</v>
      </c>
    </row>
    <row r="4009" spans="1:9" ht="168.75">
      <c r="A4009" s="1079"/>
      <c r="B4009" s="903" t="s">
        <v>2508</v>
      </c>
      <c r="C4009" s="914">
        <v>15000</v>
      </c>
      <c r="D4009" s="914">
        <v>15000</v>
      </c>
      <c r="E4009" s="914"/>
      <c r="F4009" s="841"/>
      <c r="G4009" s="841"/>
      <c r="H4009" s="840">
        <f t="shared" si="124"/>
        <v>0</v>
      </c>
      <c r="I4009" s="840">
        <f t="shared" si="125"/>
        <v>30000</v>
      </c>
    </row>
    <row r="4010" spans="1:9" ht="112.5">
      <c r="A4010" s="1079"/>
      <c r="B4010" s="740" t="s">
        <v>2509</v>
      </c>
      <c r="C4010" s="905">
        <v>26026</v>
      </c>
      <c r="D4010" s="908"/>
      <c r="E4010" s="905">
        <v>26026</v>
      </c>
      <c r="F4010" s="841"/>
      <c r="G4010" s="841"/>
      <c r="H4010" s="840">
        <f t="shared" si="124"/>
        <v>0</v>
      </c>
      <c r="I4010" s="840">
        <f t="shared" si="125"/>
        <v>52052</v>
      </c>
    </row>
    <row r="4011" spans="1:9" ht="37.5">
      <c r="A4011" s="1079"/>
      <c r="B4011" s="475" t="s">
        <v>3036</v>
      </c>
      <c r="C4011" s="908">
        <v>10000</v>
      </c>
      <c r="D4011" s="908"/>
      <c r="E4011" s="905">
        <v>10000</v>
      </c>
      <c r="H4011" s="840">
        <f t="shared" si="124"/>
        <v>0</v>
      </c>
      <c r="I4011" s="840">
        <f t="shared" si="125"/>
        <v>20000</v>
      </c>
    </row>
    <row r="4012" spans="1:9" ht="93.75">
      <c r="A4012" s="1079"/>
      <c r="B4012" s="475" t="s">
        <v>3037</v>
      </c>
      <c r="C4012" s="908">
        <v>30000</v>
      </c>
      <c r="D4012" s="908">
        <v>10000</v>
      </c>
      <c r="E4012" s="905">
        <v>20000</v>
      </c>
      <c r="H4012" s="840">
        <f t="shared" si="124"/>
        <v>0</v>
      </c>
      <c r="I4012" s="840">
        <f t="shared" si="125"/>
        <v>60000</v>
      </c>
    </row>
    <row r="4013" spans="1:9" hidden="1">
      <c r="A4013" s="1079"/>
      <c r="B4013" s="475"/>
      <c r="C4013" s="916"/>
      <c r="D4013" s="916"/>
      <c r="E4013" s="905"/>
      <c r="H4013" s="840">
        <f t="shared" si="124"/>
        <v>0</v>
      </c>
      <c r="I4013" s="840">
        <f t="shared" si="125"/>
        <v>0</v>
      </c>
    </row>
    <row r="4014" spans="1:9" hidden="1">
      <c r="A4014" s="1079"/>
      <c r="B4014" s="475"/>
      <c r="C4014" s="916"/>
      <c r="D4014" s="916"/>
      <c r="E4014" s="905"/>
      <c r="H4014" s="840">
        <f t="shared" si="124"/>
        <v>0</v>
      </c>
      <c r="I4014" s="840">
        <f t="shared" si="125"/>
        <v>0</v>
      </c>
    </row>
    <row r="4015" spans="1:9" hidden="1">
      <c r="A4015" s="1079"/>
      <c r="B4015" s="475"/>
      <c r="C4015" s="916"/>
      <c r="D4015" s="916"/>
      <c r="E4015" s="905"/>
      <c r="H4015" s="840">
        <f t="shared" si="124"/>
        <v>0</v>
      </c>
      <c r="I4015" s="840">
        <f t="shared" si="125"/>
        <v>0</v>
      </c>
    </row>
    <row r="4016" spans="1:9" hidden="1">
      <c r="A4016" s="1079"/>
      <c r="B4016" s="475"/>
      <c r="C4016" s="916"/>
      <c r="D4016" s="916"/>
      <c r="E4016" s="905"/>
      <c r="H4016" s="840">
        <f t="shared" si="124"/>
        <v>0</v>
      </c>
      <c r="I4016" s="840">
        <f t="shared" si="125"/>
        <v>0</v>
      </c>
    </row>
    <row r="4017" spans="1:9" hidden="1">
      <c r="A4017" s="1079"/>
      <c r="B4017" s="475"/>
      <c r="C4017" s="916"/>
      <c r="D4017" s="916"/>
      <c r="E4017" s="905"/>
      <c r="H4017" s="840">
        <f t="shared" si="124"/>
        <v>0</v>
      </c>
      <c r="I4017" s="840">
        <f t="shared" si="125"/>
        <v>0</v>
      </c>
    </row>
    <row r="4018" spans="1:9" hidden="1">
      <c r="A4018" s="1079"/>
      <c r="B4018" s="475"/>
      <c r="C4018" s="916"/>
      <c r="D4018" s="916"/>
      <c r="E4018" s="905"/>
      <c r="H4018" s="840">
        <f t="shared" si="124"/>
        <v>0</v>
      </c>
      <c r="I4018" s="840">
        <f t="shared" si="125"/>
        <v>0</v>
      </c>
    </row>
    <row r="4019" spans="1:9" hidden="1">
      <c r="A4019" s="1079"/>
      <c r="B4019" s="475"/>
      <c r="C4019" s="916"/>
      <c r="D4019" s="916"/>
      <c r="E4019" s="905"/>
      <c r="H4019" s="840">
        <f t="shared" si="124"/>
        <v>0</v>
      </c>
      <c r="I4019" s="840">
        <f t="shared" si="125"/>
        <v>0</v>
      </c>
    </row>
    <row r="4020" spans="1:9" hidden="1">
      <c r="A4020" s="1079"/>
      <c r="B4020" s="475"/>
      <c r="C4020" s="916"/>
      <c r="D4020" s="916"/>
      <c r="E4020" s="905"/>
      <c r="H4020" s="840">
        <f t="shared" si="124"/>
        <v>0</v>
      </c>
      <c r="I4020" s="840">
        <f t="shared" si="125"/>
        <v>0</v>
      </c>
    </row>
    <row r="4021" spans="1:9" hidden="1">
      <c r="A4021" s="1079"/>
      <c r="B4021" s="475"/>
      <c r="C4021" s="916"/>
      <c r="D4021" s="916"/>
      <c r="E4021" s="905"/>
      <c r="H4021" s="840">
        <f t="shared" si="124"/>
        <v>0</v>
      </c>
      <c r="I4021" s="840">
        <f t="shared" si="125"/>
        <v>0</v>
      </c>
    </row>
    <row r="4022" spans="1:9" hidden="1">
      <c r="A4022" s="1079"/>
      <c r="B4022" s="475"/>
      <c r="C4022" s="916"/>
      <c r="D4022" s="916"/>
      <c r="E4022" s="905"/>
      <c r="H4022" s="840">
        <f t="shared" si="124"/>
        <v>0</v>
      </c>
      <c r="I4022" s="840">
        <f t="shared" si="125"/>
        <v>0</v>
      </c>
    </row>
    <row r="4023" spans="1:9" hidden="1">
      <c r="A4023" s="1079"/>
      <c r="B4023" s="475"/>
      <c r="C4023" s="916"/>
      <c r="D4023" s="916"/>
      <c r="E4023" s="905"/>
      <c r="H4023" s="840">
        <f t="shared" si="124"/>
        <v>0</v>
      </c>
      <c r="I4023" s="840">
        <f t="shared" si="125"/>
        <v>0</v>
      </c>
    </row>
    <row r="4024" spans="1:9" hidden="1">
      <c r="A4024" s="1079"/>
      <c r="B4024" s="475"/>
      <c r="C4024" s="916"/>
      <c r="D4024" s="916"/>
      <c r="E4024" s="905"/>
      <c r="H4024" s="840">
        <f t="shared" si="124"/>
        <v>0</v>
      </c>
      <c r="I4024" s="840">
        <f t="shared" si="125"/>
        <v>0</v>
      </c>
    </row>
    <row r="4025" spans="1:9" hidden="1">
      <c r="A4025" s="1079"/>
      <c r="B4025" s="475"/>
      <c r="C4025" s="916"/>
      <c r="D4025" s="916"/>
      <c r="E4025" s="905"/>
      <c r="H4025" s="840">
        <f t="shared" si="124"/>
        <v>0</v>
      </c>
      <c r="I4025" s="840">
        <f t="shared" si="125"/>
        <v>0</v>
      </c>
    </row>
    <row r="4026" spans="1:9" hidden="1">
      <c r="A4026" s="1079"/>
      <c r="B4026" s="475"/>
      <c r="C4026" s="916"/>
      <c r="D4026" s="916"/>
      <c r="E4026" s="905"/>
      <c r="H4026" s="840">
        <f t="shared" si="124"/>
        <v>0</v>
      </c>
      <c r="I4026" s="840">
        <f t="shared" si="125"/>
        <v>0</v>
      </c>
    </row>
    <row r="4027" spans="1:9" hidden="1">
      <c r="A4027" s="1079"/>
      <c r="B4027" s="475"/>
      <c r="C4027" s="916"/>
      <c r="D4027" s="916"/>
      <c r="E4027" s="905"/>
      <c r="H4027" s="840">
        <f t="shared" si="124"/>
        <v>0</v>
      </c>
      <c r="I4027" s="840">
        <f t="shared" si="125"/>
        <v>0</v>
      </c>
    </row>
    <row r="4028" spans="1:9" hidden="1">
      <c r="A4028" s="1079"/>
      <c r="B4028" s="475"/>
      <c r="C4028" s="916"/>
      <c r="D4028" s="916"/>
      <c r="E4028" s="905"/>
      <c r="H4028" s="840">
        <f t="shared" si="124"/>
        <v>0</v>
      </c>
      <c r="I4028" s="840">
        <f t="shared" si="125"/>
        <v>0</v>
      </c>
    </row>
    <row r="4029" spans="1:9" hidden="1">
      <c r="A4029" s="1079"/>
      <c r="B4029" s="475"/>
      <c r="C4029" s="916"/>
      <c r="D4029" s="916"/>
      <c r="E4029" s="905"/>
      <c r="H4029" s="840">
        <f t="shared" si="124"/>
        <v>0</v>
      </c>
      <c r="I4029" s="840">
        <f t="shared" si="125"/>
        <v>0</v>
      </c>
    </row>
    <row r="4030" spans="1:9" hidden="1">
      <c r="A4030" s="1079"/>
      <c r="B4030" s="475"/>
      <c r="C4030" s="916"/>
      <c r="D4030" s="916"/>
      <c r="E4030" s="905"/>
      <c r="H4030" s="840">
        <f t="shared" si="124"/>
        <v>0</v>
      </c>
      <c r="I4030" s="840">
        <f t="shared" si="125"/>
        <v>0</v>
      </c>
    </row>
    <row r="4031" spans="1:9" hidden="1">
      <c r="A4031" s="1079"/>
      <c r="B4031" s="475"/>
      <c r="C4031" s="916"/>
      <c r="D4031" s="916"/>
      <c r="E4031" s="905"/>
      <c r="H4031" s="840">
        <f t="shared" si="124"/>
        <v>0</v>
      </c>
      <c r="I4031" s="840">
        <f t="shared" si="125"/>
        <v>0</v>
      </c>
    </row>
    <row r="4032" spans="1:9" hidden="1">
      <c r="A4032" s="1079"/>
      <c r="B4032" s="475"/>
      <c r="C4032" s="916"/>
      <c r="D4032" s="916"/>
      <c r="E4032" s="905"/>
      <c r="H4032" s="840">
        <f t="shared" si="124"/>
        <v>0</v>
      </c>
      <c r="I4032" s="840">
        <f t="shared" si="125"/>
        <v>0</v>
      </c>
    </row>
    <row r="4033" spans="1:9">
      <c r="A4033" s="1148"/>
      <c r="B4033" s="461" t="s">
        <v>253</v>
      </c>
      <c r="C4033" s="919">
        <f>SUM(C4001:C4032)</f>
        <v>227026</v>
      </c>
      <c r="D4033" s="919">
        <f>SUM(D4001:D4032)</f>
        <v>124000</v>
      </c>
      <c r="E4033" s="919">
        <f>SUM(E4001:E4032)</f>
        <v>103026</v>
      </c>
      <c r="H4033" s="840">
        <f t="shared" si="124"/>
        <v>0</v>
      </c>
      <c r="I4033" s="840">
        <f t="shared" si="125"/>
        <v>454052</v>
      </c>
    </row>
    <row r="4034" spans="1:9" ht="37.5">
      <c r="A4034" s="1078" t="s">
        <v>816</v>
      </c>
      <c r="B4034" s="475" t="s">
        <v>1939</v>
      </c>
      <c r="C4034" s="911">
        <v>10000</v>
      </c>
      <c r="D4034" s="911">
        <v>10000</v>
      </c>
      <c r="E4034" s="911"/>
      <c r="H4034" s="840">
        <f t="shared" si="124"/>
        <v>0</v>
      </c>
      <c r="I4034" s="840">
        <f t="shared" si="125"/>
        <v>20000</v>
      </c>
    </row>
    <row r="4035" spans="1:9" ht="56.25">
      <c r="A4035" s="1079"/>
      <c r="B4035" s="475" t="s">
        <v>3038</v>
      </c>
      <c r="C4035" s="915">
        <v>50000</v>
      </c>
      <c r="D4035" s="915"/>
      <c r="E4035" s="914">
        <v>50000</v>
      </c>
      <c r="H4035" s="840">
        <f t="shared" si="124"/>
        <v>0</v>
      </c>
      <c r="I4035" s="840">
        <f t="shared" si="125"/>
        <v>100000</v>
      </c>
    </row>
    <row r="4036" spans="1:9" hidden="1">
      <c r="A4036" s="1079"/>
      <c r="B4036" s="887"/>
      <c r="C4036" s="916"/>
      <c r="D4036" s="916"/>
      <c r="E4036" s="907"/>
      <c r="H4036" s="840">
        <f t="shared" si="124"/>
        <v>0</v>
      </c>
      <c r="I4036" s="840">
        <f t="shared" si="125"/>
        <v>0</v>
      </c>
    </row>
    <row r="4037" spans="1:9" hidden="1">
      <c r="A4037" s="1079"/>
      <c r="B4037" s="887"/>
      <c r="C4037" s="916"/>
      <c r="D4037" s="916"/>
      <c r="E4037" s="907"/>
      <c r="H4037" s="840">
        <f t="shared" si="124"/>
        <v>0</v>
      </c>
      <c r="I4037" s="840">
        <f t="shared" si="125"/>
        <v>0</v>
      </c>
    </row>
    <row r="4038" spans="1:9" hidden="1">
      <c r="A4038" s="1079"/>
      <c r="B4038" s="475"/>
      <c r="C4038" s="916"/>
      <c r="D4038" s="916"/>
      <c r="E4038" s="916"/>
      <c r="H4038" s="840">
        <f t="shared" si="124"/>
        <v>0</v>
      </c>
      <c r="I4038" s="840">
        <f t="shared" si="125"/>
        <v>0</v>
      </c>
    </row>
    <row r="4039" spans="1:9" hidden="1">
      <c r="A4039" s="1079"/>
      <c r="B4039" s="475"/>
      <c r="C4039" s="916"/>
      <c r="D4039" s="916"/>
      <c r="E4039" s="916"/>
      <c r="H4039" s="840">
        <f t="shared" si="124"/>
        <v>0</v>
      </c>
      <c r="I4039" s="840">
        <f t="shared" si="125"/>
        <v>0</v>
      </c>
    </row>
    <row r="4040" spans="1:9" hidden="1">
      <c r="A4040" s="1079"/>
      <c r="B4040" s="475"/>
      <c r="C4040" s="916"/>
      <c r="D4040" s="916"/>
      <c r="E4040" s="916"/>
      <c r="H4040" s="840">
        <f t="shared" ref="H4040:H4103" si="126">E4040+D4040-C4040</f>
        <v>0</v>
      </c>
      <c r="I4040" s="840">
        <f t="shared" si="125"/>
        <v>0</v>
      </c>
    </row>
    <row r="4041" spans="1:9" hidden="1">
      <c r="A4041" s="1079"/>
      <c r="B4041" s="475"/>
      <c r="C4041" s="916"/>
      <c r="D4041" s="916"/>
      <c r="E4041" s="916"/>
      <c r="H4041" s="840">
        <f t="shared" si="126"/>
        <v>0</v>
      </c>
      <c r="I4041" s="840">
        <f t="shared" ref="I4041:I4104" si="127">SUM(C4041:E4041)</f>
        <v>0</v>
      </c>
    </row>
    <row r="4042" spans="1:9" hidden="1">
      <c r="A4042" s="1079"/>
      <c r="B4042" s="475"/>
      <c r="C4042" s="916"/>
      <c r="D4042" s="916"/>
      <c r="E4042" s="916"/>
      <c r="H4042" s="840">
        <f t="shared" si="126"/>
        <v>0</v>
      </c>
      <c r="I4042" s="840">
        <f t="shared" si="127"/>
        <v>0</v>
      </c>
    </row>
    <row r="4043" spans="1:9" hidden="1">
      <c r="A4043" s="1079"/>
      <c r="B4043" s="475"/>
      <c r="C4043" s="916"/>
      <c r="D4043" s="916"/>
      <c r="E4043" s="916"/>
      <c r="H4043" s="840">
        <f t="shared" si="126"/>
        <v>0</v>
      </c>
      <c r="I4043" s="840">
        <f t="shared" si="127"/>
        <v>0</v>
      </c>
    </row>
    <row r="4044" spans="1:9" hidden="1">
      <c r="A4044" s="1079"/>
      <c r="B4044" s="475"/>
      <c r="C4044" s="916"/>
      <c r="D4044" s="916"/>
      <c r="E4044" s="905"/>
      <c r="H4044" s="840">
        <f t="shared" si="126"/>
        <v>0</v>
      </c>
      <c r="I4044" s="840">
        <f t="shared" si="127"/>
        <v>0</v>
      </c>
    </row>
    <row r="4045" spans="1:9" hidden="1">
      <c r="A4045" s="1079"/>
      <c r="B4045" s="475"/>
      <c r="C4045" s="916"/>
      <c r="D4045" s="916"/>
      <c r="E4045" s="905"/>
      <c r="H4045" s="840">
        <f t="shared" si="126"/>
        <v>0</v>
      </c>
      <c r="I4045" s="840">
        <f t="shared" si="127"/>
        <v>0</v>
      </c>
    </row>
    <row r="4046" spans="1:9" hidden="1">
      <c r="A4046" s="1079"/>
      <c r="B4046" s="475"/>
      <c r="C4046" s="916"/>
      <c r="D4046" s="916"/>
      <c r="E4046" s="905"/>
      <c r="H4046" s="840">
        <f t="shared" si="126"/>
        <v>0</v>
      </c>
      <c r="I4046" s="840">
        <f t="shared" si="127"/>
        <v>0</v>
      </c>
    </row>
    <row r="4047" spans="1:9" hidden="1">
      <c r="A4047" s="1079"/>
      <c r="B4047" s="475"/>
      <c r="C4047" s="916"/>
      <c r="D4047" s="916"/>
      <c r="E4047" s="905"/>
      <c r="H4047" s="840">
        <f t="shared" si="126"/>
        <v>0</v>
      </c>
      <c r="I4047" s="840">
        <f t="shared" si="127"/>
        <v>0</v>
      </c>
    </row>
    <row r="4048" spans="1:9" hidden="1">
      <c r="A4048" s="1079"/>
      <c r="B4048" s="475"/>
      <c r="C4048" s="916"/>
      <c r="D4048" s="916"/>
      <c r="E4048" s="905"/>
      <c r="H4048" s="840">
        <f t="shared" si="126"/>
        <v>0</v>
      </c>
      <c r="I4048" s="840">
        <f t="shared" si="127"/>
        <v>0</v>
      </c>
    </row>
    <row r="4049" spans="1:9" hidden="1">
      <c r="A4049" s="1079"/>
      <c r="B4049" s="475"/>
      <c r="C4049" s="916"/>
      <c r="D4049" s="916"/>
      <c r="E4049" s="905"/>
      <c r="H4049" s="840">
        <f t="shared" si="126"/>
        <v>0</v>
      </c>
      <c r="I4049" s="840">
        <f t="shared" si="127"/>
        <v>0</v>
      </c>
    </row>
    <row r="4050" spans="1:9" hidden="1">
      <c r="A4050" s="1079"/>
      <c r="B4050" s="475"/>
      <c r="C4050" s="916"/>
      <c r="D4050" s="916"/>
      <c r="E4050" s="905"/>
      <c r="H4050" s="840">
        <f t="shared" si="126"/>
        <v>0</v>
      </c>
      <c r="I4050" s="840">
        <f t="shared" si="127"/>
        <v>0</v>
      </c>
    </row>
    <row r="4051" spans="1:9" hidden="1">
      <c r="A4051" s="1079"/>
      <c r="B4051" s="475"/>
      <c r="C4051" s="916"/>
      <c r="D4051" s="916"/>
      <c r="E4051" s="905"/>
      <c r="H4051" s="840">
        <f t="shared" si="126"/>
        <v>0</v>
      </c>
      <c r="I4051" s="840">
        <f t="shared" si="127"/>
        <v>0</v>
      </c>
    </row>
    <row r="4052" spans="1:9" hidden="1">
      <c r="A4052" s="1079"/>
      <c r="B4052" s="475"/>
      <c r="C4052" s="916"/>
      <c r="D4052" s="916"/>
      <c r="E4052" s="905"/>
      <c r="H4052" s="840">
        <f t="shared" si="126"/>
        <v>0</v>
      </c>
      <c r="I4052" s="840">
        <f t="shared" si="127"/>
        <v>0</v>
      </c>
    </row>
    <row r="4053" spans="1:9" hidden="1">
      <c r="A4053" s="1079"/>
      <c r="B4053" s="475"/>
      <c r="C4053" s="916"/>
      <c r="D4053" s="916"/>
      <c r="E4053" s="905"/>
      <c r="H4053" s="840">
        <f t="shared" si="126"/>
        <v>0</v>
      </c>
      <c r="I4053" s="840">
        <f t="shared" si="127"/>
        <v>0</v>
      </c>
    </row>
    <row r="4054" spans="1:9" hidden="1">
      <c r="A4054" s="1079"/>
      <c r="B4054" s="475"/>
      <c r="C4054" s="916"/>
      <c r="D4054" s="916"/>
      <c r="E4054" s="905"/>
      <c r="H4054" s="840">
        <f t="shared" si="126"/>
        <v>0</v>
      </c>
      <c r="I4054" s="840">
        <f t="shared" si="127"/>
        <v>0</v>
      </c>
    </row>
    <row r="4055" spans="1:9" hidden="1">
      <c r="A4055" s="1079"/>
      <c r="B4055" s="475"/>
      <c r="C4055" s="916"/>
      <c r="D4055" s="916"/>
      <c r="E4055" s="905"/>
      <c r="H4055" s="840">
        <f t="shared" si="126"/>
        <v>0</v>
      </c>
      <c r="I4055" s="840">
        <f t="shared" si="127"/>
        <v>0</v>
      </c>
    </row>
    <row r="4056" spans="1:9" hidden="1">
      <c r="A4056" s="1079"/>
      <c r="B4056" s="475"/>
      <c r="C4056" s="916"/>
      <c r="D4056" s="916"/>
      <c r="E4056" s="905"/>
      <c r="H4056" s="840">
        <f t="shared" si="126"/>
        <v>0</v>
      </c>
      <c r="I4056" s="840">
        <f t="shared" si="127"/>
        <v>0</v>
      </c>
    </row>
    <row r="4057" spans="1:9" hidden="1">
      <c r="A4057" s="1079"/>
      <c r="B4057" s="475"/>
      <c r="C4057" s="916"/>
      <c r="D4057" s="916"/>
      <c r="E4057" s="905"/>
      <c r="H4057" s="840">
        <f t="shared" si="126"/>
        <v>0</v>
      </c>
      <c r="I4057" s="840">
        <f t="shared" si="127"/>
        <v>0</v>
      </c>
    </row>
    <row r="4058" spans="1:9" hidden="1">
      <c r="A4058" s="1079"/>
      <c r="B4058" s="475"/>
      <c r="C4058" s="916"/>
      <c r="D4058" s="916"/>
      <c r="E4058" s="905"/>
      <c r="H4058" s="840">
        <f t="shared" si="126"/>
        <v>0</v>
      </c>
      <c r="I4058" s="840">
        <f t="shared" si="127"/>
        <v>0</v>
      </c>
    </row>
    <row r="4059" spans="1:9" hidden="1">
      <c r="A4059" s="1079"/>
      <c r="B4059" s="475"/>
      <c r="C4059" s="916"/>
      <c r="D4059" s="916"/>
      <c r="E4059" s="905"/>
      <c r="H4059" s="840">
        <f t="shared" si="126"/>
        <v>0</v>
      </c>
      <c r="I4059" s="840">
        <f t="shared" si="127"/>
        <v>0</v>
      </c>
    </row>
    <row r="4060" spans="1:9" hidden="1">
      <c r="A4060" s="1079"/>
      <c r="B4060" s="475"/>
      <c r="C4060" s="916"/>
      <c r="D4060" s="916"/>
      <c r="E4060" s="905"/>
      <c r="H4060" s="840">
        <f t="shared" si="126"/>
        <v>0</v>
      </c>
      <c r="I4060" s="840">
        <f t="shared" si="127"/>
        <v>0</v>
      </c>
    </row>
    <row r="4061" spans="1:9" hidden="1">
      <c r="A4061" s="1079"/>
      <c r="B4061" s="475"/>
      <c r="C4061" s="916"/>
      <c r="D4061" s="916"/>
      <c r="E4061" s="905"/>
      <c r="H4061" s="840">
        <f t="shared" si="126"/>
        <v>0</v>
      </c>
      <c r="I4061" s="840">
        <f t="shared" si="127"/>
        <v>0</v>
      </c>
    </row>
    <row r="4062" spans="1:9" hidden="1">
      <c r="A4062" s="1079"/>
      <c r="B4062" s="475"/>
      <c r="C4062" s="916"/>
      <c r="D4062" s="916"/>
      <c r="E4062" s="905"/>
      <c r="H4062" s="840">
        <f t="shared" si="126"/>
        <v>0</v>
      </c>
      <c r="I4062" s="840">
        <f t="shared" si="127"/>
        <v>0</v>
      </c>
    </row>
    <row r="4063" spans="1:9" hidden="1">
      <c r="A4063" s="1079"/>
      <c r="B4063" s="475"/>
      <c r="C4063" s="916"/>
      <c r="D4063" s="916"/>
      <c r="E4063" s="905"/>
      <c r="H4063" s="840">
        <f t="shared" si="126"/>
        <v>0</v>
      </c>
      <c r="I4063" s="840">
        <f t="shared" si="127"/>
        <v>0</v>
      </c>
    </row>
    <row r="4064" spans="1:9" hidden="1">
      <c r="A4064" s="1079"/>
      <c r="B4064" s="475"/>
      <c r="C4064" s="916"/>
      <c r="D4064" s="916"/>
      <c r="E4064" s="905"/>
      <c r="H4064" s="840">
        <f t="shared" si="126"/>
        <v>0</v>
      </c>
      <c r="I4064" s="840">
        <f t="shared" si="127"/>
        <v>0</v>
      </c>
    </row>
    <row r="4065" spans="1:9" hidden="1">
      <c r="A4065" s="1079"/>
      <c r="B4065" s="475"/>
      <c r="C4065" s="916"/>
      <c r="D4065" s="916"/>
      <c r="E4065" s="905"/>
      <c r="H4065" s="840">
        <f t="shared" si="126"/>
        <v>0</v>
      </c>
      <c r="I4065" s="840">
        <f t="shared" si="127"/>
        <v>0</v>
      </c>
    </row>
    <row r="4066" spans="1:9" hidden="1">
      <c r="A4066" s="1079"/>
      <c r="B4066" s="475"/>
      <c r="C4066" s="916"/>
      <c r="D4066" s="916"/>
      <c r="E4066" s="905"/>
      <c r="H4066" s="840">
        <f t="shared" si="126"/>
        <v>0</v>
      </c>
      <c r="I4066" s="840">
        <f t="shared" si="127"/>
        <v>0</v>
      </c>
    </row>
    <row r="4067" spans="1:9" hidden="1">
      <c r="A4067" s="1079"/>
      <c r="B4067" s="475"/>
      <c r="C4067" s="916"/>
      <c r="D4067" s="916"/>
      <c r="E4067" s="905"/>
      <c r="H4067" s="840">
        <f t="shared" si="126"/>
        <v>0</v>
      </c>
      <c r="I4067" s="840">
        <f t="shared" si="127"/>
        <v>0</v>
      </c>
    </row>
    <row r="4068" spans="1:9">
      <c r="A4068" s="1148"/>
      <c r="B4068" s="461" t="s">
        <v>253</v>
      </c>
      <c r="C4068" s="945">
        <f>SUM(C4034:C4067)</f>
        <v>60000</v>
      </c>
      <c r="D4068" s="945">
        <f>SUM(D4034:D4067)</f>
        <v>10000</v>
      </c>
      <c r="E4068" s="945">
        <f>SUM(E4034:E4067)</f>
        <v>50000</v>
      </c>
      <c r="H4068" s="840">
        <f t="shared" si="126"/>
        <v>0</v>
      </c>
      <c r="I4068" s="840">
        <f t="shared" si="127"/>
        <v>120000</v>
      </c>
    </row>
    <row r="4069" spans="1:9" ht="75">
      <c r="A4069" s="773" t="s">
        <v>2518</v>
      </c>
      <c r="B4069" s="475" t="s">
        <v>2521</v>
      </c>
      <c r="C4069" s="949">
        <v>25000</v>
      </c>
      <c r="D4069" s="949"/>
      <c r="E4069" s="949">
        <v>25000</v>
      </c>
      <c r="H4069" s="840">
        <f t="shared" si="126"/>
        <v>0</v>
      </c>
      <c r="I4069" s="840">
        <f t="shared" si="127"/>
        <v>50000</v>
      </c>
    </row>
    <row r="4070" spans="1:9" ht="75">
      <c r="A4070" s="773" t="s">
        <v>2519</v>
      </c>
      <c r="B4070" s="475" t="s">
        <v>2521</v>
      </c>
      <c r="C4070" s="949">
        <v>61000</v>
      </c>
      <c r="D4070" s="949"/>
      <c r="E4070" s="949">
        <v>61000</v>
      </c>
      <c r="H4070" s="840">
        <f t="shared" si="126"/>
        <v>0</v>
      </c>
      <c r="I4070" s="840">
        <f t="shared" si="127"/>
        <v>122000</v>
      </c>
    </row>
    <row r="4071" spans="1:9" ht="56.25">
      <c r="A4071" s="773" t="s">
        <v>2520</v>
      </c>
      <c r="B4071" s="475" t="s">
        <v>2521</v>
      </c>
      <c r="C4071" s="949">
        <v>35000</v>
      </c>
      <c r="D4071" s="949"/>
      <c r="E4071" s="949">
        <v>35000</v>
      </c>
      <c r="H4071" s="840">
        <f t="shared" si="126"/>
        <v>0</v>
      </c>
      <c r="I4071" s="840">
        <f t="shared" si="127"/>
        <v>70000</v>
      </c>
    </row>
    <row r="4072" spans="1:9" hidden="1">
      <c r="A4072" s="773"/>
      <c r="B4072" s="874"/>
      <c r="C4072" s="945"/>
      <c r="D4072" s="945"/>
      <c r="E4072" s="945"/>
      <c r="H4072" s="840">
        <f t="shared" si="126"/>
        <v>0</v>
      </c>
      <c r="I4072" s="840">
        <f t="shared" si="127"/>
        <v>0</v>
      </c>
    </row>
    <row r="4073" spans="1:9" hidden="1">
      <c r="A4073" s="773"/>
      <c r="B4073" s="874"/>
      <c r="C4073" s="945"/>
      <c r="D4073" s="945"/>
      <c r="E4073" s="945"/>
      <c r="H4073" s="840">
        <f t="shared" si="126"/>
        <v>0</v>
      </c>
      <c r="I4073" s="840">
        <f t="shared" si="127"/>
        <v>0</v>
      </c>
    </row>
    <row r="4074" spans="1:9" hidden="1">
      <c r="A4074" s="773"/>
      <c r="B4074" s="874"/>
      <c r="C4074" s="945"/>
      <c r="D4074" s="945"/>
      <c r="E4074" s="945"/>
      <c r="H4074" s="840">
        <f t="shared" si="126"/>
        <v>0</v>
      </c>
      <c r="I4074" s="840">
        <f t="shared" si="127"/>
        <v>0</v>
      </c>
    </row>
    <row r="4075" spans="1:9" hidden="1">
      <c r="A4075" s="773"/>
      <c r="B4075" s="874"/>
      <c r="C4075" s="945"/>
      <c r="D4075" s="945"/>
      <c r="E4075" s="945"/>
      <c r="H4075" s="840">
        <f t="shared" si="126"/>
        <v>0</v>
      </c>
      <c r="I4075" s="840">
        <f t="shared" si="127"/>
        <v>0</v>
      </c>
    </row>
    <row r="4076" spans="1:9" hidden="1">
      <c r="A4076" s="773"/>
      <c r="B4076" s="874"/>
      <c r="C4076" s="945"/>
      <c r="D4076" s="945"/>
      <c r="E4076" s="945"/>
      <c r="H4076" s="840">
        <f t="shared" si="126"/>
        <v>0</v>
      </c>
      <c r="I4076" s="840">
        <f t="shared" si="127"/>
        <v>0</v>
      </c>
    </row>
    <row r="4077" spans="1:9" hidden="1">
      <c r="A4077" s="773"/>
      <c r="B4077" s="874"/>
      <c r="C4077" s="945"/>
      <c r="D4077" s="945"/>
      <c r="E4077" s="945"/>
      <c r="H4077" s="840">
        <f t="shared" si="126"/>
        <v>0</v>
      </c>
      <c r="I4077" s="840">
        <f t="shared" si="127"/>
        <v>0</v>
      </c>
    </row>
    <row r="4078" spans="1:9" hidden="1">
      <c r="A4078" s="773"/>
      <c r="B4078" s="874"/>
      <c r="C4078" s="945"/>
      <c r="D4078" s="945"/>
      <c r="E4078" s="945"/>
      <c r="H4078" s="840">
        <f t="shared" si="126"/>
        <v>0</v>
      </c>
      <c r="I4078" s="840">
        <f t="shared" si="127"/>
        <v>0</v>
      </c>
    </row>
    <row r="4079" spans="1:9" hidden="1">
      <c r="A4079" s="773"/>
      <c r="B4079" s="874"/>
      <c r="C4079" s="945"/>
      <c r="D4079" s="945"/>
      <c r="E4079" s="945"/>
      <c r="H4079" s="840">
        <f t="shared" si="126"/>
        <v>0</v>
      </c>
      <c r="I4079" s="840">
        <f t="shared" si="127"/>
        <v>0</v>
      </c>
    </row>
    <row r="4080" spans="1:9" hidden="1">
      <c r="A4080" s="773"/>
      <c r="B4080" s="874"/>
      <c r="C4080" s="945"/>
      <c r="D4080" s="945"/>
      <c r="E4080" s="945"/>
      <c r="H4080" s="840">
        <f t="shared" si="126"/>
        <v>0</v>
      </c>
      <c r="I4080" s="840">
        <f t="shared" si="127"/>
        <v>0</v>
      </c>
    </row>
    <row r="4081" spans="1:9" hidden="1">
      <c r="A4081" s="773"/>
      <c r="B4081" s="874"/>
      <c r="C4081" s="945"/>
      <c r="D4081" s="945"/>
      <c r="E4081" s="945"/>
      <c r="H4081" s="840">
        <f t="shared" si="126"/>
        <v>0</v>
      </c>
      <c r="I4081" s="840">
        <f t="shared" si="127"/>
        <v>0</v>
      </c>
    </row>
    <row r="4082" spans="1:9" hidden="1">
      <c r="A4082" s="773"/>
      <c r="B4082" s="874"/>
      <c r="C4082" s="945"/>
      <c r="D4082" s="945"/>
      <c r="E4082" s="945"/>
      <c r="H4082" s="840">
        <f t="shared" si="126"/>
        <v>0</v>
      </c>
      <c r="I4082" s="840">
        <f t="shared" si="127"/>
        <v>0</v>
      </c>
    </row>
    <row r="4083" spans="1:9" hidden="1">
      <c r="A4083" s="773"/>
      <c r="B4083" s="874"/>
      <c r="C4083" s="945"/>
      <c r="D4083" s="945"/>
      <c r="E4083" s="945"/>
      <c r="H4083" s="840">
        <f t="shared" si="126"/>
        <v>0</v>
      </c>
      <c r="I4083" s="840">
        <f t="shared" si="127"/>
        <v>0</v>
      </c>
    </row>
    <row r="4084" spans="1:9" hidden="1">
      <c r="A4084" s="773"/>
      <c r="B4084" s="874"/>
      <c r="C4084" s="945"/>
      <c r="D4084" s="945"/>
      <c r="E4084" s="945"/>
      <c r="H4084" s="840">
        <f t="shared" si="126"/>
        <v>0</v>
      </c>
      <c r="I4084" s="840">
        <f t="shared" si="127"/>
        <v>0</v>
      </c>
    </row>
    <row r="4085" spans="1:9" hidden="1">
      <c r="A4085" s="773"/>
      <c r="B4085" s="874"/>
      <c r="C4085" s="945"/>
      <c r="D4085" s="945"/>
      <c r="E4085" s="945"/>
      <c r="H4085" s="840">
        <f t="shared" si="126"/>
        <v>0</v>
      </c>
      <c r="I4085" s="840">
        <f t="shared" si="127"/>
        <v>0</v>
      </c>
    </row>
    <row r="4086" spans="1:9" hidden="1">
      <c r="A4086" s="773"/>
      <c r="B4086" s="874"/>
      <c r="C4086" s="945"/>
      <c r="D4086" s="945"/>
      <c r="E4086" s="945"/>
      <c r="H4086" s="840">
        <f t="shared" si="126"/>
        <v>0</v>
      </c>
      <c r="I4086" s="840">
        <f t="shared" si="127"/>
        <v>0</v>
      </c>
    </row>
    <row r="4087" spans="1:9" hidden="1">
      <c r="A4087" s="468"/>
      <c r="B4087" s="461"/>
      <c r="C4087" s="945"/>
      <c r="D4087" s="945"/>
      <c r="E4087" s="945"/>
      <c r="H4087" s="840">
        <f t="shared" si="126"/>
        <v>0</v>
      </c>
      <c r="I4087" s="840">
        <f t="shared" si="127"/>
        <v>0</v>
      </c>
    </row>
    <row r="4088" spans="1:9" hidden="1">
      <c r="A4088" s="468"/>
      <c r="B4088" s="461"/>
      <c r="C4088" s="945"/>
      <c r="D4088" s="945"/>
      <c r="E4088" s="945"/>
      <c r="H4088" s="840">
        <f t="shared" si="126"/>
        <v>0</v>
      </c>
      <c r="I4088" s="840">
        <f t="shared" si="127"/>
        <v>0</v>
      </c>
    </row>
    <row r="4089" spans="1:9" hidden="1">
      <c r="A4089" s="468"/>
      <c r="B4089" s="461"/>
      <c r="C4089" s="945"/>
      <c r="D4089" s="945"/>
      <c r="E4089" s="945"/>
      <c r="H4089" s="840">
        <f t="shared" si="126"/>
        <v>0</v>
      </c>
      <c r="I4089" s="840">
        <f t="shared" si="127"/>
        <v>0</v>
      </c>
    </row>
    <row r="4090" spans="1:9" hidden="1">
      <c r="A4090" s="468"/>
      <c r="B4090" s="461"/>
      <c r="C4090" s="945"/>
      <c r="D4090" s="945"/>
      <c r="E4090" s="945"/>
      <c r="H4090" s="840">
        <f t="shared" si="126"/>
        <v>0</v>
      </c>
      <c r="I4090" s="840">
        <f t="shared" si="127"/>
        <v>0</v>
      </c>
    </row>
    <row r="4091" spans="1:9" hidden="1">
      <c r="A4091" s="468"/>
      <c r="B4091" s="461"/>
      <c r="C4091" s="945"/>
      <c r="D4091" s="945"/>
      <c r="E4091" s="945"/>
      <c r="H4091" s="840">
        <f t="shared" si="126"/>
        <v>0</v>
      </c>
      <c r="I4091" s="840">
        <f t="shared" si="127"/>
        <v>0</v>
      </c>
    </row>
    <row r="4092" spans="1:9" hidden="1">
      <c r="A4092" s="468"/>
      <c r="B4092" s="461"/>
      <c r="C4092" s="945"/>
      <c r="D4092" s="945"/>
      <c r="E4092" s="945"/>
      <c r="H4092" s="840">
        <f t="shared" si="126"/>
        <v>0</v>
      </c>
      <c r="I4092" s="840">
        <f t="shared" si="127"/>
        <v>0</v>
      </c>
    </row>
    <row r="4093" spans="1:9" hidden="1">
      <c r="A4093" s="468"/>
      <c r="B4093" s="461"/>
      <c r="C4093" s="945"/>
      <c r="D4093" s="945"/>
      <c r="E4093" s="945"/>
      <c r="H4093" s="840">
        <f t="shared" si="126"/>
        <v>0</v>
      </c>
      <c r="I4093" s="840">
        <f t="shared" si="127"/>
        <v>0</v>
      </c>
    </row>
    <row r="4094" spans="1:9" hidden="1">
      <c r="A4094" s="468"/>
      <c r="B4094" s="461"/>
      <c r="C4094" s="945"/>
      <c r="D4094" s="945"/>
      <c r="E4094" s="945"/>
      <c r="H4094" s="840">
        <f t="shared" si="126"/>
        <v>0</v>
      </c>
      <c r="I4094" s="840">
        <f t="shared" si="127"/>
        <v>0</v>
      </c>
    </row>
    <row r="4095" spans="1:9" hidden="1">
      <c r="A4095" s="468"/>
      <c r="B4095" s="461"/>
      <c r="C4095" s="945"/>
      <c r="D4095" s="945"/>
      <c r="E4095" s="945"/>
      <c r="H4095" s="840">
        <f t="shared" si="126"/>
        <v>0</v>
      </c>
      <c r="I4095" s="840">
        <f t="shared" si="127"/>
        <v>0</v>
      </c>
    </row>
    <row r="4096" spans="1:9" hidden="1">
      <c r="A4096" s="468"/>
      <c r="B4096" s="461"/>
      <c r="C4096" s="945"/>
      <c r="D4096" s="945"/>
      <c r="E4096" s="945"/>
      <c r="H4096" s="840">
        <f t="shared" si="126"/>
        <v>0</v>
      </c>
      <c r="I4096" s="840">
        <f t="shared" si="127"/>
        <v>0</v>
      </c>
    </row>
    <row r="4097" spans="1:9" hidden="1">
      <c r="A4097" s="468"/>
      <c r="B4097" s="461"/>
      <c r="C4097" s="945"/>
      <c r="D4097" s="945"/>
      <c r="E4097" s="945"/>
      <c r="H4097" s="840">
        <f t="shared" si="126"/>
        <v>0</v>
      </c>
      <c r="I4097" s="840">
        <f t="shared" si="127"/>
        <v>0</v>
      </c>
    </row>
    <row r="4098" spans="1:9" hidden="1">
      <c r="A4098" s="468"/>
      <c r="B4098" s="461"/>
      <c r="C4098" s="945"/>
      <c r="D4098" s="945"/>
      <c r="E4098" s="945"/>
      <c r="H4098" s="840">
        <f t="shared" si="126"/>
        <v>0</v>
      </c>
      <c r="I4098" s="840">
        <f t="shared" si="127"/>
        <v>0</v>
      </c>
    </row>
    <row r="4099" spans="1:9" hidden="1">
      <c r="A4099" s="468"/>
      <c r="B4099" s="461"/>
      <c r="C4099" s="945"/>
      <c r="D4099" s="945"/>
      <c r="E4099" s="945"/>
      <c r="H4099" s="840">
        <f t="shared" si="126"/>
        <v>0</v>
      </c>
      <c r="I4099" s="840">
        <f t="shared" si="127"/>
        <v>0</v>
      </c>
    </row>
    <row r="4100" spans="1:9" hidden="1">
      <c r="A4100" s="468"/>
      <c r="B4100" s="461"/>
      <c r="C4100" s="945"/>
      <c r="D4100" s="945"/>
      <c r="E4100" s="945"/>
      <c r="H4100" s="840">
        <f t="shared" si="126"/>
        <v>0</v>
      </c>
      <c r="I4100" s="840">
        <f t="shared" si="127"/>
        <v>0</v>
      </c>
    </row>
    <row r="4101" spans="1:9" hidden="1">
      <c r="A4101" s="468"/>
      <c r="B4101" s="461"/>
      <c r="C4101" s="945"/>
      <c r="D4101" s="945"/>
      <c r="E4101" s="945"/>
      <c r="H4101" s="840">
        <f t="shared" si="126"/>
        <v>0</v>
      </c>
      <c r="I4101" s="840">
        <f t="shared" si="127"/>
        <v>0</v>
      </c>
    </row>
    <row r="4102" spans="1:9" hidden="1">
      <c r="A4102" s="468"/>
      <c r="B4102" s="461"/>
      <c r="C4102" s="945"/>
      <c r="D4102" s="945"/>
      <c r="E4102" s="945"/>
      <c r="H4102" s="840">
        <f t="shared" si="126"/>
        <v>0</v>
      </c>
      <c r="I4102" s="840">
        <f t="shared" si="127"/>
        <v>0</v>
      </c>
    </row>
    <row r="4103" spans="1:9" hidden="1">
      <c r="A4103" s="468"/>
      <c r="B4103" s="461"/>
      <c r="C4103" s="945"/>
      <c r="D4103" s="945"/>
      <c r="E4103" s="945"/>
      <c r="H4103" s="840">
        <f t="shared" si="126"/>
        <v>0</v>
      </c>
      <c r="I4103" s="840">
        <f t="shared" si="127"/>
        <v>0</v>
      </c>
    </row>
    <row r="4104" spans="1:9" hidden="1">
      <c r="A4104" s="468"/>
      <c r="B4104" s="461"/>
      <c r="C4104" s="945"/>
      <c r="D4104" s="945"/>
      <c r="E4104" s="945"/>
      <c r="H4104" s="840">
        <f t="shared" ref="H4104:H4167" si="128">E4104+D4104-C4104</f>
        <v>0</v>
      </c>
      <c r="I4104" s="840">
        <f t="shared" si="127"/>
        <v>0</v>
      </c>
    </row>
    <row r="4105" spans="1:9" hidden="1">
      <c r="A4105" s="468"/>
      <c r="B4105" s="461"/>
      <c r="C4105" s="945"/>
      <c r="D4105" s="945"/>
      <c r="E4105" s="945"/>
      <c r="H4105" s="840">
        <f t="shared" si="128"/>
        <v>0</v>
      </c>
      <c r="I4105" s="840">
        <f t="shared" ref="I4105:I4167" si="129">SUM(C4105:E4105)</f>
        <v>0</v>
      </c>
    </row>
    <row r="4106" spans="1:9" hidden="1">
      <c r="A4106" s="468"/>
      <c r="B4106" s="461"/>
      <c r="C4106" s="945"/>
      <c r="D4106" s="945"/>
      <c r="E4106" s="945"/>
      <c r="H4106" s="840">
        <f t="shared" si="128"/>
        <v>0</v>
      </c>
      <c r="I4106" s="840">
        <f t="shared" si="129"/>
        <v>0</v>
      </c>
    </row>
    <row r="4107" spans="1:9" hidden="1">
      <c r="A4107" s="468"/>
      <c r="B4107" s="461"/>
      <c r="C4107" s="945"/>
      <c r="D4107" s="945"/>
      <c r="E4107" s="945"/>
      <c r="H4107" s="840">
        <f t="shared" si="128"/>
        <v>0</v>
      </c>
      <c r="I4107" s="840">
        <f t="shared" si="129"/>
        <v>0</v>
      </c>
    </row>
    <row r="4108" spans="1:9" hidden="1">
      <c r="A4108" s="468"/>
      <c r="B4108" s="461"/>
      <c r="C4108" s="945"/>
      <c r="D4108" s="945"/>
      <c r="E4108" s="945"/>
      <c r="H4108" s="840">
        <f t="shared" si="128"/>
        <v>0</v>
      </c>
      <c r="I4108" s="840">
        <f t="shared" si="129"/>
        <v>0</v>
      </c>
    </row>
    <row r="4109" spans="1:9" hidden="1">
      <c r="A4109" s="468"/>
      <c r="B4109" s="461"/>
      <c r="C4109" s="945"/>
      <c r="D4109" s="945"/>
      <c r="E4109" s="945"/>
      <c r="H4109" s="840">
        <f t="shared" si="128"/>
        <v>0</v>
      </c>
      <c r="I4109" s="840">
        <f t="shared" si="129"/>
        <v>0</v>
      </c>
    </row>
    <row r="4110" spans="1:9" hidden="1">
      <c r="A4110" s="468"/>
      <c r="B4110" s="461"/>
      <c r="C4110" s="945"/>
      <c r="D4110" s="945"/>
      <c r="E4110" s="945"/>
      <c r="H4110" s="840">
        <f t="shared" si="128"/>
        <v>0</v>
      </c>
      <c r="I4110" s="840">
        <f t="shared" si="129"/>
        <v>0</v>
      </c>
    </row>
    <row r="4111" spans="1:9" hidden="1">
      <c r="A4111" s="468"/>
      <c r="B4111" s="461"/>
      <c r="C4111" s="945"/>
      <c r="D4111" s="945"/>
      <c r="E4111" s="945"/>
      <c r="H4111" s="840">
        <f t="shared" si="128"/>
        <v>0</v>
      </c>
      <c r="I4111" s="840">
        <f t="shared" si="129"/>
        <v>0</v>
      </c>
    </row>
    <row r="4112" spans="1:9" hidden="1">
      <c r="A4112" s="468"/>
      <c r="B4112" s="461"/>
      <c r="C4112" s="945"/>
      <c r="D4112" s="945"/>
      <c r="E4112" s="945"/>
      <c r="H4112" s="840">
        <f t="shared" si="128"/>
        <v>0</v>
      </c>
      <c r="I4112" s="840">
        <f t="shared" si="129"/>
        <v>0</v>
      </c>
    </row>
    <row r="4113" spans="1:9" hidden="1">
      <c r="A4113" s="468"/>
      <c r="B4113" s="461"/>
      <c r="C4113" s="945"/>
      <c r="D4113" s="945"/>
      <c r="E4113" s="945"/>
      <c r="H4113" s="840">
        <f t="shared" si="128"/>
        <v>0</v>
      </c>
      <c r="I4113" s="840">
        <f t="shared" si="129"/>
        <v>0</v>
      </c>
    </row>
    <row r="4114" spans="1:9" hidden="1">
      <c r="A4114" s="468"/>
      <c r="B4114" s="461"/>
      <c r="C4114" s="945"/>
      <c r="D4114" s="945"/>
      <c r="E4114" s="945"/>
      <c r="H4114" s="840">
        <f t="shared" si="128"/>
        <v>0</v>
      </c>
      <c r="I4114" s="840">
        <f t="shared" si="129"/>
        <v>0</v>
      </c>
    </row>
    <row r="4115" spans="1:9" hidden="1">
      <c r="A4115" s="468"/>
      <c r="B4115" s="461"/>
      <c r="C4115" s="945"/>
      <c r="D4115" s="945"/>
      <c r="E4115" s="945"/>
      <c r="H4115" s="840">
        <f t="shared" si="128"/>
        <v>0</v>
      </c>
      <c r="I4115" s="840">
        <f t="shared" si="129"/>
        <v>0</v>
      </c>
    </row>
    <row r="4116" spans="1:9" hidden="1">
      <c r="A4116" s="468"/>
      <c r="B4116" s="461"/>
      <c r="C4116" s="945"/>
      <c r="D4116" s="945"/>
      <c r="E4116" s="945"/>
      <c r="H4116" s="840">
        <f t="shared" si="128"/>
        <v>0</v>
      </c>
      <c r="I4116" s="840">
        <f t="shared" si="129"/>
        <v>0</v>
      </c>
    </row>
    <row r="4117" spans="1:9" hidden="1">
      <c r="A4117" s="468"/>
      <c r="B4117" s="461"/>
      <c r="C4117" s="945"/>
      <c r="D4117" s="945"/>
      <c r="E4117" s="945"/>
      <c r="H4117" s="840">
        <f t="shared" si="128"/>
        <v>0</v>
      </c>
      <c r="I4117" s="840">
        <f t="shared" si="129"/>
        <v>0</v>
      </c>
    </row>
    <row r="4118" spans="1:9" hidden="1">
      <c r="A4118" s="468"/>
      <c r="B4118" s="461"/>
      <c r="C4118" s="945"/>
      <c r="D4118" s="945"/>
      <c r="E4118" s="945"/>
      <c r="H4118" s="840">
        <f t="shared" si="128"/>
        <v>0</v>
      </c>
      <c r="I4118" s="840">
        <f t="shared" si="129"/>
        <v>0</v>
      </c>
    </row>
    <row r="4119" spans="1:9" hidden="1">
      <c r="A4119" s="468"/>
      <c r="B4119" s="461"/>
      <c r="C4119" s="945"/>
      <c r="D4119" s="945"/>
      <c r="E4119" s="945"/>
      <c r="H4119" s="840">
        <f t="shared" si="128"/>
        <v>0</v>
      </c>
      <c r="I4119" s="840">
        <f t="shared" si="129"/>
        <v>0</v>
      </c>
    </row>
    <row r="4120" spans="1:9" hidden="1">
      <c r="A4120" s="468"/>
      <c r="B4120" s="461"/>
      <c r="C4120" s="945"/>
      <c r="D4120" s="945"/>
      <c r="E4120" s="945"/>
      <c r="H4120" s="840">
        <f t="shared" si="128"/>
        <v>0</v>
      </c>
      <c r="I4120" s="840">
        <f t="shared" si="129"/>
        <v>0</v>
      </c>
    </row>
    <row r="4121" spans="1:9" hidden="1">
      <c r="A4121" s="468"/>
      <c r="B4121" s="461"/>
      <c r="C4121" s="945"/>
      <c r="D4121" s="945"/>
      <c r="E4121" s="945"/>
      <c r="H4121" s="840">
        <f t="shared" si="128"/>
        <v>0</v>
      </c>
      <c r="I4121" s="840">
        <f t="shared" si="129"/>
        <v>0</v>
      </c>
    </row>
    <row r="4122" spans="1:9" hidden="1">
      <c r="A4122" s="468"/>
      <c r="B4122" s="461"/>
      <c r="C4122" s="945"/>
      <c r="D4122" s="945"/>
      <c r="E4122" s="945"/>
      <c r="H4122" s="840">
        <f t="shared" si="128"/>
        <v>0</v>
      </c>
      <c r="I4122" s="840">
        <f t="shared" si="129"/>
        <v>0</v>
      </c>
    </row>
    <row r="4123" spans="1:9" hidden="1">
      <c r="A4123" s="468"/>
      <c r="B4123" s="461"/>
      <c r="C4123" s="945"/>
      <c r="D4123" s="945"/>
      <c r="E4123" s="945"/>
      <c r="H4123" s="840">
        <f t="shared" si="128"/>
        <v>0</v>
      </c>
      <c r="I4123" s="840">
        <f t="shared" si="129"/>
        <v>0</v>
      </c>
    </row>
    <row r="4124" spans="1:9" hidden="1">
      <c r="A4124" s="468"/>
      <c r="B4124" s="461"/>
      <c r="C4124" s="945"/>
      <c r="D4124" s="945"/>
      <c r="E4124" s="945"/>
      <c r="H4124" s="840">
        <f t="shared" si="128"/>
        <v>0</v>
      </c>
      <c r="I4124" s="840">
        <f t="shared" si="129"/>
        <v>0</v>
      </c>
    </row>
    <row r="4125" spans="1:9" hidden="1">
      <c r="A4125" s="468"/>
      <c r="B4125" s="461"/>
      <c r="C4125" s="945"/>
      <c r="D4125" s="945"/>
      <c r="E4125" s="945"/>
      <c r="H4125" s="840">
        <f t="shared" si="128"/>
        <v>0</v>
      </c>
      <c r="I4125" s="840">
        <f t="shared" si="129"/>
        <v>0</v>
      </c>
    </row>
    <row r="4126" spans="1:9" hidden="1">
      <c r="A4126" s="468"/>
      <c r="B4126" s="461"/>
      <c r="C4126" s="945"/>
      <c r="D4126" s="945"/>
      <c r="E4126" s="945"/>
      <c r="H4126" s="840">
        <f t="shared" si="128"/>
        <v>0</v>
      </c>
      <c r="I4126" s="840">
        <f t="shared" si="129"/>
        <v>0</v>
      </c>
    </row>
    <row r="4127" spans="1:9" hidden="1">
      <c r="A4127" s="468"/>
      <c r="B4127" s="461"/>
      <c r="C4127" s="945"/>
      <c r="D4127" s="945"/>
      <c r="E4127" s="945"/>
      <c r="H4127" s="840">
        <f t="shared" si="128"/>
        <v>0</v>
      </c>
      <c r="I4127" s="840">
        <f t="shared" si="129"/>
        <v>0</v>
      </c>
    </row>
    <row r="4128" spans="1:9" hidden="1">
      <c r="A4128" s="468"/>
      <c r="B4128" s="461"/>
      <c r="C4128" s="945"/>
      <c r="D4128" s="945"/>
      <c r="E4128" s="945"/>
      <c r="H4128" s="840">
        <f t="shared" si="128"/>
        <v>0</v>
      </c>
      <c r="I4128" s="840">
        <f t="shared" si="129"/>
        <v>0</v>
      </c>
    </row>
    <row r="4129" spans="1:9" hidden="1">
      <c r="A4129" s="468"/>
      <c r="B4129" s="461"/>
      <c r="C4129" s="945"/>
      <c r="D4129" s="945"/>
      <c r="E4129" s="945"/>
      <c r="H4129" s="840">
        <f t="shared" si="128"/>
        <v>0</v>
      </c>
      <c r="I4129" s="840">
        <f t="shared" si="129"/>
        <v>0</v>
      </c>
    </row>
    <row r="4130" spans="1:9" hidden="1">
      <c r="A4130" s="468"/>
      <c r="B4130" s="461"/>
      <c r="C4130" s="945"/>
      <c r="D4130" s="945"/>
      <c r="E4130" s="945"/>
      <c r="H4130" s="840">
        <f t="shared" si="128"/>
        <v>0</v>
      </c>
      <c r="I4130" s="840">
        <f t="shared" si="129"/>
        <v>0</v>
      </c>
    </row>
    <row r="4131" spans="1:9" hidden="1">
      <c r="A4131" s="468"/>
      <c r="B4131" s="461"/>
      <c r="C4131" s="945"/>
      <c r="D4131" s="945"/>
      <c r="E4131" s="945"/>
      <c r="H4131" s="840">
        <f t="shared" si="128"/>
        <v>0</v>
      </c>
      <c r="I4131" s="840">
        <f t="shared" si="129"/>
        <v>0</v>
      </c>
    </row>
    <row r="4132" spans="1:9" hidden="1">
      <c r="A4132" s="468"/>
      <c r="B4132" s="461"/>
      <c r="C4132" s="945"/>
      <c r="D4132" s="945"/>
      <c r="E4132" s="945"/>
      <c r="H4132" s="840">
        <f t="shared" si="128"/>
        <v>0</v>
      </c>
      <c r="I4132" s="840">
        <f t="shared" si="129"/>
        <v>0</v>
      </c>
    </row>
    <row r="4133" spans="1:9" hidden="1">
      <c r="A4133" s="468"/>
      <c r="B4133" s="461"/>
      <c r="C4133" s="945"/>
      <c r="D4133" s="945"/>
      <c r="E4133" s="945"/>
      <c r="H4133" s="840">
        <f t="shared" si="128"/>
        <v>0</v>
      </c>
      <c r="I4133" s="840">
        <f t="shared" si="129"/>
        <v>0</v>
      </c>
    </row>
    <row r="4134" spans="1:9" hidden="1">
      <c r="A4134" s="468"/>
      <c r="B4134" s="461"/>
      <c r="C4134" s="945"/>
      <c r="D4134" s="945"/>
      <c r="E4134" s="945"/>
      <c r="H4134" s="840">
        <f t="shared" si="128"/>
        <v>0</v>
      </c>
      <c r="I4134" s="840">
        <f t="shared" si="129"/>
        <v>0</v>
      </c>
    </row>
    <row r="4135" spans="1:9" hidden="1">
      <c r="A4135" s="468"/>
      <c r="B4135" s="461"/>
      <c r="C4135" s="945"/>
      <c r="D4135" s="945"/>
      <c r="E4135" s="945"/>
      <c r="H4135" s="840">
        <f t="shared" si="128"/>
        <v>0</v>
      </c>
      <c r="I4135" s="840">
        <f t="shared" si="129"/>
        <v>0</v>
      </c>
    </row>
    <row r="4136" spans="1:9" hidden="1">
      <c r="A4136" s="468"/>
      <c r="B4136" s="461"/>
      <c r="C4136" s="945"/>
      <c r="D4136" s="945"/>
      <c r="E4136" s="945"/>
      <c r="H4136" s="840">
        <f t="shared" si="128"/>
        <v>0</v>
      </c>
      <c r="I4136" s="840">
        <f t="shared" si="129"/>
        <v>0</v>
      </c>
    </row>
    <row r="4137" spans="1:9" hidden="1">
      <c r="A4137" s="468"/>
      <c r="B4137" s="461"/>
      <c r="C4137" s="945"/>
      <c r="D4137" s="945"/>
      <c r="E4137" s="945"/>
      <c r="H4137" s="840">
        <f t="shared" si="128"/>
        <v>0</v>
      </c>
      <c r="I4137" s="840">
        <f t="shared" si="129"/>
        <v>0</v>
      </c>
    </row>
    <row r="4138" spans="1:9" hidden="1">
      <c r="A4138" s="468"/>
      <c r="B4138" s="461"/>
      <c r="C4138" s="945"/>
      <c r="D4138" s="945"/>
      <c r="E4138" s="945"/>
      <c r="H4138" s="840">
        <f t="shared" si="128"/>
        <v>0</v>
      </c>
      <c r="I4138" s="840">
        <f t="shared" si="129"/>
        <v>0</v>
      </c>
    </row>
    <row r="4139" spans="1:9" hidden="1">
      <c r="A4139" s="468"/>
      <c r="B4139" s="461"/>
      <c r="C4139" s="945"/>
      <c r="D4139" s="945"/>
      <c r="E4139" s="945"/>
      <c r="H4139" s="840">
        <f t="shared" si="128"/>
        <v>0</v>
      </c>
      <c r="I4139" s="840">
        <f t="shared" si="129"/>
        <v>0</v>
      </c>
    </row>
    <row r="4140" spans="1:9" hidden="1">
      <c r="A4140" s="468"/>
      <c r="B4140" s="461"/>
      <c r="C4140" s="945"/>
      <c r="D4140" s="945"/>
      <c r="E4140" s="945"/>
      <c r="H4140" s="840">
        <f t="shared" si="128"/>
        <v>0</v>
      </c>
      <c r="I4140" s="840">
        <f t="shared" si="129"/>
        <v>0</v>
      </c>
    </row>
    <row r="4141" spans="1:9" hidden="1">
      <c r="A4141" s="468"/>
      <c r="B4141" s="461"/>
      <c r="C4141" s="945"/>
      <c r="D4141" s="945"/>
      <c r="E4141" s="945"/>
      <c r="H4141" s="840">
        <f t="shared" si="128"/>
        <v>0</v>
      </c>
      <c r="I4141" s="840">
        <f t="shared" si="129"/>
        <v>0</v>
      </c>
    </row>
    <row r="4142" spans="1:9" hidden="1">
      <c r="A4142" s="468"/>
      <c r="B4142" s="461"/>
      <c r="C4142" s="945"/>
      <c r="D4142" s="945"/>
      <c r="E4142" s="945"/>
      <c r="H4142" s="840">
        <f t="shared" si="128"/>
        <v>0</v>
      </c>
      <c r="I4142" s="840">
        <f t="shared" si="129"/>
        <v>0</v>
      </c>
    </row>
    <row r="4143" spans="1:9" hidden="1">
      <c r="A4143" s="468"/>
      <c r="B4143" s="461"/>
      <c r="C4143" s="945"/>
      <c r="D4143" s="945"/>
      <c r="E4143" s="945"/>
      <c r="H4143" s="840">
        <f t="shared" si="128"/>
        <v>0</v>
      </c>
      <c r="I4143" s="840">
        <f t="shared" si="129"/>
        <v>0</v>
      </c>
    </row>
    <row r="4144" spans="1:9" hidden="1">
      <c r="A4144" s="468"/>
      <c r="B4144" s="461"/>
      <c r="C4144" s="945"/>
      <c r="D4144" s="945"/>
      <c r="E4144" s="945"/>
      <c r="H4144" s="840">
        <f t="shared" si="128"/>
        <v>0</v>
      </c>
      <c r="I4144" s="840">
        <f t="shared" si="129"/>
        <v>0</v>
      </c>
    </row>
    <row r="4145" spans="1:9" hidden="1">
      <c r="A4145" s="468"/>
      <c r="B4145" s="461"/>
      <c r="C4145" s="945"/>
      <c r="D4145" s="945"/>
      <c r="E4145" s="945"/>
      <c r="H4145" s="840">
        <f t="shared" si="128"/>
        <v>0</v>
      </c>
      <c r="I4145" s="840">
        <f t="shared" si="129"/>
        <v>0</v>
      </c>
    </row>
    <row r="4146" spans="1:9" hidden="1">
      <c r="A4146" s="468"/>
      <c r="B4146" s="461"/>
      <c r="C4146" s="945"/>
      <c r="D4146" s="945"/>
      <c r="E4146" s="945"/>
      <c r="H4146" s="840">
        <f t="shared" si="128"/>
        <v>0</v>
      </c>
      <c r="I4146" s="840">
        <f t="shared" si="129"/>
        <v>0</v>
      </c>
    </row>
    <row r="4147" spans="1:9" hidden="1">
      <c r="A4147" s="468"/>
      <c r="B4147" s="461"/>
      <c r="C4147" s="945"/>
      <c r="D4147" s="945"/>
      <c r="E4147" s="945"/>
      <c r="H4147" s="840">
        <f t="shared" si="128"/>
        <v>0</v>
      </c>
      <c r="I4147" s="840">
        <f t="shared" si="129"/>
        <v>0</v>
      </c>
    </row>
    <row r="4148" spans="1:9" hidden="1">
      <c r="A4148" s="468"/>
      <c r="B4148" s="461"/>
      <c r="C4148" s="945"/>
      <c r="D4148" s="945"/>
      <c r="E4148" s="945"/>
      <c r="H4148" s="840">
        <f t="shared" si="128"/>
        <v>0</v>
      </c>
      <c r="I4148" s="840">
        <f t="shared" si="129"/>
        <v>0</v>
      </c>
    </row>
    <row r="4149" spans="1:9" hidden="1">
      <c r="A4149" s="468"/>
      <c r="B4149" s="461"/>
      <c r="C4149" s="945"/>
      <c r="D4149" s="945"/>
      <c r="E4149" s="945"/>
      <c r="H4149" s="840">
        <f t="shared" si="128"/>
        <v>0</v>
      </c>
      <c r="I4149" s="840">
        <f t="shared" si="129"/>
        <v>0</v>
      </c>
    </row>
    <row r="4150" spans="1:9" hidden="1">
      <c r="A4150" s="468"/>
      <c r="B4150" s="461"/>
      <c r="C4150" s="945"/>
      <c r="D4150" s="945"/>
      <c r="E4150" s="945"/>
      <c r="H4150" s="840">
        <f t="shared" si="128"/>
        <v>0</v>
      </c>
      <c r="I4150" s="840">
        <f t="shared" si="129"/>
        <v>0</v>
      </c>
    </row>
    <row r="4151" spans="1:9" hidden="1">
      <c r="A4151" s="468"/>
      <c r="B4151" s="461"/>
      <c r="C4151" s="945"/>
      <c r="D4151" s="945"/>
      <c r="E4151" s="945"/>
      <c r="H4151" s="840">
        <f t="shared" si="128"/>
        <v>0</v>
      </c>
      <c r="I4151" s="840">
        <f t="shared" si="129"/>
        <v>0</v>
      </c>
    </row>
    <row r="4152" spans="1:9" hidden="1">
      <c r="A4152" s="468"/>
      <c r="B4152" s="461"/>
      <c r="C4152" s="945"/>
      <c r="D4152" s="945"/>
      <c r="E4152" s="945"/>
      <c r="H4152" s="840">
        <f t="shared" si="128"/>
        <v>0</v>
      </c>
      <c r="I4152" s="840">
        <f t="shared" si="129"/>
        <v>0</v>
      </c>
    </row>
    <row r="4153" spans="1:9" hidden="1">
      <c r="A4153" s="468"/>
      <c r="B4153" s="461"/>
      <c r="C4153" s="945"/>
      <c r="D4153" s="945"/>
      <c r="E4153" s="945"/>
      <c r="H4153" s="840">
        <f t="shared" si="128"/>
        <v>0</v>
      </c>
      <c r="I4153" s="840">
        <f t="shared" si="129"/>
        <v>0</v>
      </c>
    </row>
    <row r="4154" spans="1:9" hidden="1">
      <c r="A4154" s="468"/>
      <c r="B4154" s="461"/>
      <c r="C4154" s="945"/>
      <c r="D4154" s="945"/>
      <c r="E4154" s="945"/>
      <c r="H4154" s="840">
        <f t="shared" si="128"/>
        <v>0</v>
      </c>
      <c r="I4154" s="840">
        <f t="shared" si="129"/>
        <v>0</v>
      </c>
    </row>
    <row r="4155" spans="1:9" hidden="1">
      <c r="A4155" s="468"/>
      <c r="B4155" s="461"/>
      <c r="C4155" s="945"/>
      <c r="D4155" s="945"/>
      <c r="E4155" s="945"/>
      <c r="H4155" s="840">
        <f t="shared" si="128"/>
        <v>0</v>
      </c>
      <c r="I4155" s="840">
        <f t="shared" si="129"/>
        <v>0</v>
      </c>
    </row>
    <row r="4156" spans="1:9" hidden="1">
      <c r="A4156" s="468"/>
      <c r="B4156" s="461"/>
      <c r="C4156" s="945"/>
      <c r="D4156" s="945"/>
      <c r="E4156" s="945"/>
      <c r="H4156" s="840">
        <f t="shared" si="128"/>
        <v>0</v>
      </c>
      <c r="I4156" s="840">
        <f t="shared" si="129"/>
        <v>0</v>
      </c>
    </row>
    <row r="4157" spans="1:9" hidden="1">
      <c r="A4157" s="468"/>
      <c r="B4157" s="461"/>
      <c r="C4157" s="945"/>
      <c r="D4157" s="945"/>
      <c r="E4157" s="945"/>
      <c r="H4157" s="840">
        <f t="shared" si="128"/>
        <v>0</v>
      </c>
      <c r="I4157" s="840">
        <f t="shared" si="129"/>
        <v>0</v>
      </c>
    </row>
    <row r="4158" spans="1:9" hidden="1">
      <c r="A4158" s="468"/>
      <c r="B4158" s="461"/>
      <c r="C4158" s="945"/>
      <c r="D4158" s="945"/>
      <c r="E4158" s="945"/>
      <c r="H4158" s="840">
        <f t="shared" si="128"/>
        <v>0</v>
      </c>
      <c r="I4158" s="840">
        <f t="shared" si="129"/>
        <v>0</v>
      </c>
    </row>
    <row r="4159" spans="1:9" hidden="1">
      <c r="A4159" s="468"/>
      <c r="B4159" s="461"/>
      <c r="C4159" s="945"/>
      <c r="D4159" s="945"/>
      <c r="E4159" s="945"/>
      <c r="H4159" s="840">
        <f t="shared" si="128"/>
        <v>0</v>
      </c>
      <c r="I4159" s="840">
        <f t="shared" si="129"/>
        <v>0</v>
      </c>
    </row>
    <row r="4160" spans="1:9" hidden="1">
      <c r="A4160" s="468"/>
      <c r="B4160" s="461"/>
      <c r="C4160" s="945"/>
      <c r="D4160" s="945"/>
      <c r="E4160" s="945"/>
      <c r="H4160" s="840">
        <f t="shared" si="128"/>
        <v>0</v>
      </c>
      <c r="I4160" s="840">
        <f t="shared" si="129"/>
        <v>0</v>
      </c>
    </row>
    <row r="4161" spans="1:13">
      <c r="A4161" s="1149" t="s">
        <v>474</v>
      </c>
      <c r="B4161" s="1150"/>
      <c r="C4161" s="919">
        <f>C191+C318+C434+C474+C562+C615+C675+C724+C765+C819+C880+C919+C998+C1098+C1165+C1264+C1386+C1456+C1534+C1583+C1780+C1875+C1969+C2046+C2132+C2211+C2352+C2424+C2431+C2437+C2538+C2620+C2544+C2440+C2472+C2482+C2547+C2550+C2669+C2817+C2852+C2887+C2922+C2957+C2992+C3027+C3079+C3114+C3149+C3184+C3219+C3254+C3289+C3324+C3359+C3394+C3429+C3464+C3499+C3534+C3825+C3965+C3569+C3604+C3639+C3707+C3860+C3895+C3930+C4000+C4033+C4068+C2585++C4069+C4070+C4071</f>
        <v>73316390.950000003</v>
      </c>
      <c r="D4161" s="919">
        <f>D191+D318+D434+D474+D562+D615+D675+D724+D765+D819+D880+D919+D998+D1098+D1165+D1264+D1386+D1456+D1534+D1583+D1780+D1875+D1969+D2046+D2132+D2211+D2352+D2424+D2431+D2437+D2538+D2620+D2544+D2440+D2472+D2482+D2547+D2550+D2669+D2817+D2852+D2887+D2922+D2957+D2992+D3027+D3079+D3114+D3149+D3184+D3219+D3254+D3289+D3324+D3359+D3394+D3429+D3464+D3499+D3534+D3825+D3965+D3569+D3604+D3639+D3707+D3860+D3895+D3930+D4000+D4033+D4068+D2585++D4069+D4070+D4071</f>
        <v>40713135</v>
      </c>
      <c r="E4161" s="919">
        <f>E191+E318+E434+E474+E562+E615+E675+E724+E765+E819+E880+E919+E998+E1098+E1165+E1264+E1386+E1456+E1534+E1583+E1780+E1875+E1969+E2046+E2132+E2211+E2352+E2424+E2431+E2437+E2538+E2620+E2544+E2440+E2472+E2482+E2547+E2550+E2669+E2817+E2852+E2887+E2922+E2957+E2992+E3027+E3079+E3114+E3149+E3184+E3219+E3254+E3289+E3324+E3359+E3394+E3429+E3464+E3499+E3534+E3825+E3965+E3569+E3604+E3639+E3707+E3860+E3895+E3930+E4000+E4033+E4068+E2585++E4069+E4070+E4071</f>
        <v>32603255.949999999</v>
      </c>
      <c r="H4161" s="840">
        <f t="shared" si="128"/>
        <v>0</v>
      </c>
      <c r="I4161" s="840">
        <f t="shared" si="129"/>
        <v>146632781.90000001</v>
      </c>
    </row>
    <row r="4162" spans="1:13" ht="37.5" hidden="1">
      <c r="A4162" s="472" t="s">
        <v>293</v>
      </c>
      <c r="B4162" s="856"/>
      <c r="C4162" s="950"/>
      <c r="D4162" s="951"/>
      <c r="E4162" s="950"/>
      <c r="H4162" s="840">
        <f t="shared" si="128"/>
        <v>0</v>
      </c>
      <c r="I4162" s="840">
        <f t="shared" si="129"/>
        <v>0</v>
      </c>
    </row>
    <row r="4163" spans="1:13" ht="150" hidden="1">
      <c r="A4163" s="1070" t="s">
        <v>252</v>
      </c>
      <c r="B4163" s="310" t="s">
        <v>1044</v>
      </c>
      <c r="C4163" s="530">
        <f>500000-260000-240000</f>
        <v>0</v>
      </c>
      <c r="D4163" s="530"/>
      <c r="E4163" s="530">
        <f>500000-260000-240000</f>
        <v>0</v>
      </c>
      <c r="H4163" s="840">
        <f t="shared" si="128"/>
        <v>0</v>
      </c>
      <c r="I4163" s="840">
        <f t="shared" si="129"/>
        <v>0</v>
      </c>
    </row>
    <row r="4164" spans="1:13" ht="75" hidden="1">
      <c r="A4164" s="1071"/>
      <c r="B4164" s="844" t="s">
        <v>964</v>
      </c>
      <c r="C4164" s="952">
        <f>210000+240000-200000-150000-100000</f>
        <v>0</v>
      </c>
      <c r="D4164" s="952"/>
      <c r="E4164" s="952">
        <f>210000+240000-200000-150000-100000</f>
        <v>0</v>
      </c>
      <c r="H4164" s="840">
        <f t="shared" si="128"/>
        <v>0</v>
      </c>
      <c r="I4164" s="840">
        <f t="shared" si="129"/>
        <v>0</v>
      </c>
    </row>
    <row r="4165" spans="1:13" ht="75" hidden="1">
      <c r="A4165" s="1071"/>
      <c r="B4165" s="310" t="s">
        <v>965</v>
      </c>
      <c r="C4165" s="530"/>
      <c r="D4165" s="530"/>
      <c r="E4165" s="530"/>
      <c r="H4165" s="840">
        <f t="shared" si="128"/>
        <v>0</v>
      </c>
      <c r="I4165" s="840">
        <f t="shared" si="129"/>
        <v>0</v>
      </c>
    </row>
    <row r="4166" spans="1:13" hidden="1">
      <c r="A4166" s="1073"/>
      <c r="B4166" s="310" t="s">
        <v>253</v>
      </c>
      <c r="C4166" s="530">
        <f>SUBTOTAL(9,C4163:C4165)</f>
        <v>0</v>
      </c>
      <c r="D4166" s="530">
        <f>SUBTOTAL(9,D4163:D4165)</f>
        <v>0</v>
      </c>
      <c r="E4166" s="530">
        <f>SUBTOTAL(9,E4163:E4165)</f>
        <v>0</v>
      </c>
      <c r="H4166" s="840">
        <f t="shared" si="128"/>
        <v>0</v>
      </c>
      <c r="I4166" s="840">
        <f t="shared" si="129"/>
        <v>0</v>
      </c>
    </row>
    <row r="4167" spans="1:13">
      <c r="A4167" s="1149" t="s">
        <v>253</v>
      </c>
      <c r="B4167" s="1150"/>
      <c r="C4167" s="919">
        <f>C4161+C4166</f>
        <v>73316390.950000003</v>
      </c>
      <c r="D4167" s="919">
        <f>D4161+D4166</f>
        <v>40713135</v>
      </c>
      <c r="E4167" s="919">
        <f>E4161+E4166</f>
        <v>32603255.949999999</v>
      </c>
      <c r="F4167" s="875">
        <f>F4161+F4166</f>
        <v>0</v>
      </c>
      <c r="G4167" s="875">
        <f>G4161+G4166</f>
        <v>0</v>
      </c>
      <c r="H4167" s="840">
        <f t="shared" si="128"/>
        <v>0</v>
      </c>
      <c r="I4167" s="840">
        <f t="shared" si="129"/>
        <v>146632781.90000001</v>
      </c>
    </row>
    <row r="4168" spans="1:13">
      <c r="C4168" s="876"/>
      <c r="D4168" s="876"/>
      <c r="E4168" s="876"/>
      <c r="I4168" s="542">
        <v>1</v>
      </c>
    </row>
    <row r="4169" spans="1:13" ht="60.6" customHeight="1">
      <c r="A4169" s="489" t="s">
        <v>271</v>
      </c>
      <c r="B4169" s="977"/>
      <c r="C4169" s="976"/>
      <c r="D4169" s="661"/>
      <c r="E4169" s="489" t="s">
        <v>272</v>
      </c>
      <c r="G4169" s="673"/>
      <c r="H4169" s="302"/>
      <c r="I4169" s="673">
        <v>1</v>
      </c>
      <c r="J4169" s="673"/>
      <c r="K4169" s="673"/>
      <c r="L4169" s="673"/>
      <c r="M4169" s="489"/>
    </row>
    <row r="4170" spans="1:13">
      <c r="C4170" s="876"/>
      <c r="D4170" s="876"/>
      <c r="E4170" s="876"/>
      <c r="I4170" s="542">
        <v>1</v>
      </c>
    </row>
    <row r="4171" spans="1:13">
      <c r="C4171" s="876"/>
      <c r="D4171" s="876"/>
      <c r="E4171" s="876"/>
      <c r="I4171" s="542">
        <v>1</v>
      </c>
    </row>
    <row r="4172" spans="1:13">
      <c r="C4172" s="876"/>
      <c r="D4172" s="876"/>
      <c r="E4172" s="876"/>
      <c r="I4172" s="542">
        <v>1</v>
      </c>
    </row>
    <row r="4173" spans="1:13">
      <c r="C4173" s="876"/>
      <c r="D4173" s="876"/>
      <c r="E4173" s="876"/>
      <c r="I4173" s="542">
        <v>1</v>
      </c>
    </row>
    <row r="4174" spans="1:13" s="302" customFormat="1" hidden="1">
      <c r="C4174" s="877">
        <f>C4167-D4167-E4167</f>
        <v>0</v>
      </c>
      <c r="D4174" s="877">
        <f>D4167-дод5!AQ118</f>
        <v>0</v>
      </c>
      <c r="E4174" s="877">
        <f>E4167-дод5!BH118</f>
        <v>0</v>
      </c>
    </row>
    <row r="4175" spans="1:13" s="302" customFormat="1" hidden="1">
      <c r="C4175" s="877"/>
      <c r="D4175" s="877"/>
      <c r="E4175" s="877"/>
    </row>
    <row r="4176" spans="1:13" s="302" customFormat="1" hidden="1">
      <c r="C4176" s="877"/>
      <c r="D4176" s="877"/>
      <c r="E4176" s="877"/>
    </row>
    <row r="4177" spans="3:8" s="302" customFormat="1" hidden="1">
      <c r="C4177" s="877"/>
      <c r="D4177" s="877"/>
      <c r="E4177" s="877"/>
    </row>
    <row r="4178" spans="3:8" s="302" customFormat="1" hidden="1">
      <c r="C4178" s="877"/>
      <c r="D4178" s="877"/>
      <c r="E4178" s="877"/>
    </row>
    <row r="4179" spans="3:8" s="302" customFormat="1" hidden="1">
      <c r="C4179" s="877"/>
      <c r="D4179" s="877"/>
      <c r="E4179" s="877"/>
    </row>
    <row r="4180" spans="3:8" s="302" customFormat="1" hidden="1">
      <c r="C4180" s="877"/>
      <c r="D4180" s="877"/>
      <c r="E4180" s="877"/>
    </row>
    <row r="4181" spans="3:8" s="302" customFormat="1" hidden="1">
      <c r="C4181" s="877"/>
      <c r="D4181" s="877"/>
      <c r="E4181" s="877"/>
    </row>
    <row r="4182" spans="3:8" s="302" customFormat="1" hidden="1">
      <c r="C4182" s="877"/>
      <c r="D4182" s="877"/>
      <c r="E4182" s="877"/>
    </row>
    <row r="4183" spans="3:8" s="302" customFormat="1" hidden="1">
      <c r="C4183" s="877"/>
      <c r="D4183" s="877"/>
      <c r="E4183" s="877"/>
    </row>
    <row r="4184" spans="3:8" s="302" customFormat="1" hidden="1">
      <c r="C4184" s="877"/>
      <c r="D4184" s="877"/>
      <c r="E4184" s="877"/>
    </row>
    <row r="4185" spans="3:8" s="302" customFormat="1" hidden="1">
      <c r="C4185" s="877"/>
      <c r="D4185" s="877"/>
      <c r="E4185" s="877"/>
    </row>
    <row r="4186" spans="3:8" s="302" customFormat="1" hidden="1">
      <c r="C4186" s="877"/>
      <c r="D4186" s="877"/>
      <c r="E4186" s="877"/>
    </row>
    <row r="4187" spans="3:8" s="302" customFormat="1" hidden="1">
      <c r="C4187" s="877"/>
      <c r="D4187" s="877"/>
      <c r="E4187" s="877"/>
    </row>
    <row r="4188" spans="3:8" s="845" customFormat="1" hidden="1">
      <c r="C4188" s="541">
        <f>C4167-дод5!BH118-дод5!AQ118</f>
        <v>0</v>
      </c>
      <c r="D4188" s="541">
        <f>D4167-дод5!AQ118</f>
        <v>0</v>
      </c>
      <c r="E4188" s="541">
        <f>E4167-дод5!BH118</f>
        <v>0</v>
      </c>
      <c r="F4188" s="302"/>
      <c r="G4188" s="302"/>
    </row>
    <row r="4189" spans="3:8" s="440" customFormat="1" hidden="1">
      <c r="C4189" s="541">
        <f>C4167-дод5!AP118</f>
        <v>55060890.950000003</v>
      </c>
      <c r="D4189" s="541">
        <f>D4167-дод5!AQ118</f>
        <v>0</v>
      </c>
      <c r="E4189" s="541">
        <f>E4167-дод5!BH118</f>
        <v>0</v>
      </c>
      <c r="F4189" s="302"/>
      <c r="G4189" s="302"/>
      <c r="H4189" s="845"/>
    </row>
    <row r="4190" spans="3:8" s="440" customFormat="1" hidden="1">
      <c r="F4190" s="302"/>
      <c r="G4190" s="302"/>
    </row>
    <row r="4191" spans="3:8" s="440" customFormat="1" hidden="1">
      <c r="C4191" s="529">
        <f>дод5!AQ118+дод5!BH118-C4167</f>
        <v>0</v>
      </c>
      <c r="D4191" s="529">
        <f>D4167-дод5!AQ118</f>
        <v>0</v>
      </c>
      <c r="E4191" s="529">
        <f>E4167-дод5!BH118</f>
        <v>0</v>
      </c>
      <c r="F4191" s="302"/>
      <c r="G4191" s="302"/>
    </row>
  </sheetData>
  <autoFilter ref="I1:I4191">
    <filterColumn colId="0">
      <customFilters and="1">
        <customFilter operator="greaterThan" val="0"/>
      </customFilters>
    </filterColumn>
  </autoFilter>
  <mergeCells count="77">
    <mergeCell ref="A3605:A3639"/>
    <mergeCell ref="A3640:A3707"/>
    <mergeCell ref="A3708:A3825"/>
    <mergeCell ref="A4034:A4068"/>
    <mergeCell ref="A2586:A2620"/>
    <mergeCell ref="A2621:A2669"/>
    <mergeCell ref="A2670:A2817"/>
    <mergeCell ref="A3826:A3860"/>
    <mergeCell ref="A3861:A3895"/>
    <mergeCell ref="A3896:A3930"/>
    <mergeCell ref="A3931:A3965"/>
    <mergeCell ref="A3966:A4000"/>
    <mergeCell ref="A4001:A4033"/>
    <mergeCell ref="A435:A474"/>
    <mergeCell ref="A2441:A2472"/>
    <mergeCell ref="A1535:A1583"/>
    <mergeCell ref="A1876:A1969"/>
    <mergeCell ref="A1457:A1534"/>
    <mergeCell ref="A999:A1098"/>
    <mergeCell ref="A1099:A1165"/>
    <mergeCell ref="A1166:A1264"/>
    <mergeCell ref="A475:A562"/>
    <mergeCell ref="A563:A615"/>
    <mergeCell ref="A4:F4"/>
    <mergeCell ref="A8:A191"/>
    <mergeCell ref="A192:A318"/>
    <mergeCell ref="A319:A434"/>
    <mergeCell ref="A616:A675"/>
    <mergeCell ref="A820:A880"/>
    <mergeCell ref="A725:A765"/>
    <mergeCell ref="A4167:B4167"/>
    <mergeCell ref="A2353:A2424"/>
    <mergeCell ref="A2047:A2132"/>
    <mergeCell ref="A1584:A1780"/>
    <mergeCell ref="A1781:A1875"/>
    <mergeCell ref="A2551:A2585"/>
    <mergeCell ref="A4161:B4161"/>
    <mergeCell ref="A3360:A3394"/>
    <mergeCell ref="A3465:A3499"/>
    <mergeCell ref="A2853:A2887"/>
    <mergeCell ref="A766:A819"/>
    <mergeCell ref="A676:A724"/>
    <mergeCell ref="A3430:A3464"/>
    <mergeCell ref="A3500:A3534"/>
    <mergeCell ref="A3535:A3569"/>
    <mergeCell ref="A3570:A3604"/>
    <mergeCell ref="A2548:A2550"/>
    <mergeCell ref="A3255:A3289"/>
    <mergeCell ref="A3290:A3324"/>
    <mergeCell ref="A3325:A3359"/>
    <mergeCell ref="A3080:A3114"/>
    <mergeCell ref="A1387:A1456"/>
    <mergeCell ref="A2473:A2482"/>
    <mergeCell ref="A3395:A3429"/>
    <mergeCell ref="A3115:A3149"/>
    <mergeCell ref="A3220:A3254"/>
    <mergeCell ref="A3185:A3219"/>
    <mergeCell ref="A2993:A3027"/>
    <mergeCell ref="A3028:A3079"/>
    <mergeCell ref="A3150:A3184"/>
    <mergeCell ref="A2958:A2992"/>
    <mergeCell ref="A2888:A2922"/>
    <mergeCell ref="A2212:A2352"/>
    <mergeCell ref="A2545:A2547"/>
    <mergeCell ref="A2133:A2211"/>
    <mergeCell ref="A2432:A2437"/>
    <mergeCell ref="A2438:A2440"/>
    <mergeCell ref="A1265:A1386"/>
    <mergeCell ref="A1970:A2046"/>
    <mergeCell ref="A920:A998"/>
    <mergeCell ref="A881:A919"/>
    <mergeCell ref="A4163:A4166"/>
    <mergeCell ref="A2425:A2431"/>
    <mergeCell ref="A2539:A2544"/>
    <mergeCell ref="A2483:A2538"/>
    <mergeCell ref="A2818:A2852"/>
    <mergeCell ref="A2923:A2957"/>
  </mergeCells>
  <phoneticPr fontId="0" type="noConversion"/>
  <printOptions horizontalCentered="1"/>
  <pageMargins left="0.39370078740157483" right="0" top="7.874015748031496E-2" bottom="0" header="0" footer="0"/>
  <pageSetup paperSize="9" scale="6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9"/>
  <sheetViews>
    <sheetView view="pageBreakPreview" zoomScale="73" zoomScaleNormal="65" zoomScaleSheetLayoutView="73" workbookViewId="0">
      <pane xSplit="2" ySplit="7" topLeftCell="C107" activePane="bottomRight" state="frozen"/>
      <selection pane="topRight" activeCell="C1" sqref="C1"/>
      <selection pane="bottomLeft" activeCell="A8" sqref="A8"/>
      <selection pane="bottomRight" activeCell="L1" sqref="L1:T65536"/>
    </sheetView>
  </sheetViews>
  <sheetFormatPr defaultRowHeight="18.75"/>
  <cols>
    <col min="1" max="1" width="9.140625" style="440"/>
    <col min="2" max="2" width="51.42578125" style="440" customWidth="1"/>
    <col min="3" max="3" width="20.7109375" style="440" customWidth="1"/>
    <col min="4" max="4" width="22.5703125" style="440" customWidth="1"/>
    <col min="5" max="5" width="21.5703125" style="440" customWidth="1"/>
    <col min="6" max="6" width="16.85546875" style="302" hidden="1" customWidth="1"/>
    <col min="7" max="7" width="13.7109375" style="302" hidden="1" customWidth="1"/>
    <col min="8" max="8" width="22.7109375" style="440" hidden="1" customWidth="1"/>
    <col min="9" max="9" width="0" style="440" hidden="1" customWidth="1"/>
    <col min="10" max="11" width="13.42578125" style="440" hidden="1" customWidth="1"/>
    <col min="12" max="12" width="0" style="440" hidden="1" customWidth="1"/>
    <col min="13" max="15" width="21.42578125" style="440" hidden="1" customWidth="1"/>
    <col min="16" max="20" width="0" style="440" hidden="1" customWidth="1"/>
    <col min="21" max="16384" width="9.140625" style="440"/>
  </cols>
  <sheetData>
    <row r="1" spans="1:17" s="878" customFormat="1" ht="20.25" customHeight="1">
      <c r="B1" s="835"/>
      <c r="C1" s="835"/>
      <c r="D1" s="836" t="s">
        <v>1623</v>
      </c>
      <c r="F1" s="879"/>
      <c r="G1" s="502"/>
      <c r="H1" s="880"/>
      <c r="I1" s="880"/>
      <c r="J1" s="880"/>
      <c r="K1" s="880"/>
      <c r="L1" s="880"/>
      <c r="M1" s="880"/>
      <c r="N1" s="880"/>
      <c r="O1" s="880"/>
      <c r="P1" s="880"/>
      <c r="Q1" s="880"/>
    </row>
    <row r="2" spans="1:17" s="878" customFormat="1" ht="18" customHeight="1">
      <c r="B2" s="837"/>
      <c r="C2" s="837"/>
      <c r="D2" s="836" t="s">
        <v>476</v>
      </c>
      <c r="E2" s="440"/>
      <c r="F2" s="879"/>
      <c r="G2" s="502"/>
      <c r="H2" s="880"/>
      <c r="I2" s="880"/>
      <c r="J2" s="880"/>
      <c r="K2" s="880"/>
      <c r="L2" s="880"/>
      <c r="M2" s="880"/>
      <c r="N2" s="880"/>
      <c r="O2" s="880"/>
      <c r="P2" s="880"/>
      <c r="Q2" s="880"/>
    </row>
    <row r="3" spans="1:17" s="878" customFormat="1" ht="18" customHeight="1">
      <c r="B3" s="837"/>
      <c r="C3" s="837"/>
      <c r="D3" s="836" t="s">
        <v>3247</v>
      </c>
      <c r="E3" s="440"/>
      <c r="F3" s="879"/>
      <c r="G3" s="502"/>
      <c r="H3" s="880"/>
      <c r="I3" s="880"/>
      <c r="J3" s="880"/>
      <c r="K3" s="880"/>
      <c r="L3" s="880"/>
      <c r="M3" s="880"/>
      <c r="N3" s="880"/>
      <c r="O3" s="880"/>
      <c r="P3" s="880"/>
      <c r="Q3" s="880"/>
    </row>
    <row r="4" spans="1:17" s="878" customFormat="1" ht="60.6" customHeight="1">
      <c r="B4" s="1154" t="s">
        <v>1660</v>
      </c>
      <c r="C4" s="1154"/>
      <c r="D4" s="1154"/>
      <c r="E4" s="1154"/>
      <c r="F4" s="494"/>
      <c r="G4" s="881"/>
      <c r="H4" s="880"/>
      <c r="I4" s="880"/>
      <c r="J4" s="880"/>
      <c r="K4" s="880"/>
      <c r="L4" s="880"/>
      <c r="M4" s="880"/>
      <c r="N4" s="880"/>
      <c r="O4" s="880"/>
      <c r="P4" s="880"/>
      <c r="Q4" s="880"/>
    </row>
    <row r="5" spans="1:17" ht="16.5" customHeight="1">
      <c r="B5" s="838"/>
      <c r="C5" s="838"/>
      <c r="D5" s="838"/>
      <c r="E5" s="445" t="s">
        <v>383</v>
      </c>
      <c r="F5" s="882"/>
      <c r="G5" s="883"/>
    </row>
    <row r="6" spans="1:17" ht="54.75" customHeight="1">
      <c r="A6" s="468" t="s">
        <v>1628</v>
      </c>
      <c r="B6" s="468" t="s">
        <v>1627</v>
      </c>
      <c r="C6" s="468" t="s">
        <v>302</v>
      </c>
      <c r="D6" s="449" t="s">
        <v>180</v>
      </c>
      <c r="E6" s="449" t="s">
        <v>181</v>
      </c>
      <c r="F6" s="882"/>
      <c r="G6" s="883"/>
    </row>
    <row r="7" spans="1:17" ht="18" customHeight="1">
      <c r="A7" s="468">
        <v>1</v>
      </c>
      <c r="B7" s="468">
        <v>2</v>
      </c>
      <c r="C7" s="468">
        <v>3</v>
      </c>
      <c r="D7" s="449">
        <v>4</v>
      </c>
      <c r="E7" s="449">
        <v>5</v>
      </c>
      <c r="F7" s="882"/>
      <c r="G7" s="883"/>
    </row>
    <row r="8" spans="1:17" s="955" customFormat="1" ht="56.25">
      <c r="A8" s="965" t="s">
        <v>1637</v>
      </c>
      <c r="B8" s="973" t="s">
        <v>1639</v>
      </c>
      <c r="C8" s="966">
        <f>SUM(C10:C66)</f>
        <v>1338872</v>
      </c>
      <c r="D8" s="966">
        <f>SUM(D10:D66)</f>
        <v>1060306</v>
      </c>
      <c r="E8" s="966">
        <f>SUM(E10:E66)</f>
        <v>278566</v>
      </c>
      <c r="F8" s="953"/>
      <c r="G8" s="953"/>
      <c r="H8" s="954">
        <f t="shared" ref="H8:H62" si="0">D8+E8-C8</f>
        <v>0</v>
      </c>
      <c r="J8" s="955" t="b">
        <f>D8=дод3!F26</f>
        <v>1</v>
      </c>
      <c r="K8" s="955" t="b">
        <f>E8=дод3!J26</f>
        <v>1</v>
      </c>
    </row>
    <row r="9" spans="1:17" s="302" customFormat="1">
      <c r="A9" s="842"/>
      <c r="B9" s="842" t="s">
        <v>346</v>
      </c>
      <c r="C9" s="905"/>
      <c r="D9" s="905"/>
      <c r="E9" s="905"/>
      <c r="F9" s="841"/>
      <c r="G9" s="841"/>
      <c r="H9" s="954">
        <f t="shared" si="0"/>
        <v>0</v>
      </c>
    </row>
    <row r="10" spans="1:17" s="302" customFormat="1" ht="75">
      <c r="A10" s="842"/>
      <c r="B10" s="331" t="s">
        <v>1823</v>
      </c>
      <c r="C10" s="916">
        <v>10000</v>
      </c>
      <c r="D10" s="967">
        <v>0</v>
      </c>
      <c r="E10" s="967">
        <v>10000</v>
      </c>
      <c r="F10" s="841"/>
      <c r="G10" s="841"/>
      <c r="H10" s="954">
        <f t="shared" si="0"/>
        <v>0</v>
      </c>
    </row>
    <row r="11" spans="1:17" s="302" customFormat="1" ht="75">
      <c r="A11" s="310"/>
      <c r="B11" s="331" t="s">
        <v>1629</v>
      </c>
      <c r="C11" s="916">
        <v>7000</v>
      </c>
      <c r="D11" s="967">
        <v>7000</v>
      </c>
      <c r="E11" s="967">
        <v>0</v>
      </c>
      <c r="F11" s="841"/>
      <c r="G11" s="841"/>
      <c r="H11" s="954">
        <f t="shared" si="0"/>
        <v>0</v>
      </c>
    </row>
    <row r="12" spans="1:17" s="302" customFormat="1" ht="93.75">
      <c r="A12" s="310"/>
      <c r="B12" s="331" t="s">
        <v>1630</v>
      </c>
      <c r="C12" s="916">
        <v>20000</v>
      </c>
      <c r="D12" s="967">
        <v>20000</v>
      </c>
      <c r="E12" s="967">
        <v>0</v>
      </c>
      <c r="F12" s="841"/>
      <c r="G12" s="841"/>
      <c r="H12" s="954">
        <f t="shared" si="0"/>
        <v>0</v>
      </c>
    </row>
    <row r="13" spans="1:17" s="302" customFormat="1" ht="75">
      <c r="A13" s="310"/>
      <c r="B13" s="331" t="s">
        <v>1631</v>
      </c>
      <c r="C13" s="916">
        <v>129241.99999999999</v>
      </c>
      <c r="D13" s="967">
        <v>25500</v>
      </c>
      <c r="E13" s="967">
        <v>103742</v>
      </c>
      <c r="F13" s="841"/>
      <c r="G13" s="841"/>
      <c r="H13" s="954">
        <f t="shared" si="0"/>
        <v>0</v>
      </c>
    </row>
    <row r="14" spans="1:17" s="302" customFormat="1" ht="93.75">
      <c r="A14" s="310"/>
      <c r="B14" s="331" t="s">
        <v>1632</v>
      </c>
      <c r="C14" s="916">
        <v>10000</v>
      </c>
      <c r="D14" s="967">
        <v>10000</v>
      </c>
      <c r="E14" s="967">
        <v>0</v>
      </c>
      <c r="F14" s="841"/>
      <c r="G14" s="841"/>
      <c r="H14" s="954">
        <f t="shared" si="0"/>
        <v>0</v>
      </c>
    </row>
    <row r="15" spans="1:17" s="302" customFormat="1" ht="56.25">
      <c r="A15" s="310"/>
      <c r="B15" s="331" t="s">
        <v>1633</v>
      </c>
      <c r="C15" s="968">
        <v>20000</v>
      </c>
      <c r="D15" s="967">
        <v>20000</v>
      </c>
      <c r="E15" s="967">
        <v>0</v>
      </c>
      <c r="F15" s="841"/>
      <c r="G15" s="841"/>
      <c r="H15" s="954">
        <f t="shared" si="0"/>
        <v>0</v>
      </c>
    </row>
    <row r="16" spans="1:17" s="302" customFormat="1" ht="75">
      <c r="A16" s="310"/>
      <c r="B16" s="331" t="s">
        <v>1638</v>
      </c>
      <c r="C16" s="968">
        <v>46000</v>
      </c>
      <c r="D16" s="967">
        <v>46000</v>
      </c>
      <c r="E16" s="967">
        <v>0</v>
      </c>
      <c r="F16" s="841"/>
      <c r="G16" s="841"/>
      <c r="H16" s="954">
        <f t="shared" si="0"/>
        <v>0</v>
      </c>
    </row>
    <row r="17" spans="1:8" s="302" customFormat="1" ht="75">
      <c r="A17" s="310"/>
      <c r="B17" s="331" t="s">
        <v>1828</v>
      </c>
      <c r="C17" s="916">
        <v>25000</v>
      </c>
      <c r="D17" s="967">
        <v>13000</v>
      </c>
      <c r="E17" s="967">
        <v>12000</v>
      </c>
      <c r="F17" s="841"/>
      <c r="G17" s="841"/>
      <c r="H17" s="954">
        <f t="shared" si="0"/>
        <v>0</v>
      </c>
    </row>
    <row r="18" spans="1:8" s="302" customFormat="1" ht="56.25">
      <c r="A18" s="310"/>
      <c r="B18" s="956" t="s">
        <v>1634</v>
      </c>
      <c r="C18" s="917">
        <v>12000</v>
      </c>
      <c r="D18" s="967">
        <v>12000</v>
      </c>
      <c r="E18" s="967">
        <v>0</v>
      </c>
      <c r="F18" s="841"/>
      <c r="G18" s="841"/>
      <c r="H18" s="954">
        <f t="shared" si="0"/>
        <v>0</v>
      </c>
    </row>
    <row r="19" spans="1:8" s="302" customFormat="1" ht="56.25">
      <c r="A19" s="310"/>
      <c r="B19" s="331" t="s">
        <v>1653</v>
      </c>
      <c r="C19" s="916">
        <v>15000</v>
      </c>
      <c r="D19" s="967">
        <v>7000</v>
      </c>
      <c r="E19" s="967">
        <v>8000</v>
      </c>
      <c r="F19" s="841"/>
      <c r="G19" s="841"/>
      <c r="H19" s="954">
        <f t="shared" si="0"/>
        <v>0</v>
      </c>
    </row>
    <row r="20" spans="1:8" s="302" customFormat="1" ht="93.75">
      <c r="A20" s="310"/>
      <c r="B20" s="331" t="s">
        <v>1667</v>
      </c>
      <c r="C20" s="916">
        <v>42278</v>
      </c>
      <c r="D20" s="967">
        <v>42278</v>
      </c>
      <c r="E20" s="967">
        <v>0</v>
      </c>
      <c r="F20" s="841"/>
      <c r="G20" s="841"/>
      <c r="H20" s="954">
        <f t="shared" si="0"/>
        <v>0</v>
      </c>
    </row>
    <row r="21" spans="1:8" s="302" customFormat="1" ht="75">
      <c r="A21" s="310"/>
      <c r="B21" s="331" t="s">
        <v>1668</v>
      </c>
      <c r="C21" s="916">
        <v>10000</v>
      </c>
      <c r="D21" s="967">
        <v>10000</v>
      </c>
      <c r="E21" s="967">
        <v>0</v>
      </c>
      <c r="F21" s="841"/>
      <c r="G21" s="841"/>
      <c r="H21" s="954">
        <f t="shared" si="0"/>
        <v>0</v>
      </c>
    </row>
    <row r="22" spans="1:8" s="302" customFormat="1" ht="37.5">
      <c r="A22" s="842"/>
      <c r="B22" s="957" t="s">
        <v>1635</v>
      </c>
      <c r="C22" s="908">
        <v>20000</v>
      </c>
      <c r="D22" s="967">
        <v>0</v>
      </c>
      <c r="E22" s="967">
        <v>20000</v>
      </c>
      <c r="F22" s="843">
        <v>25000</v>
      </c>
      <c r="G22" s="843"/>
      <c r="H22" s="954">
        <f t="shared" si="0"/>
        <v>0</v>
      </c>
    </row>
    <row r="23" spans="1:8" s="302" customFormat="1" ht="93.75">
      <c r="A23" s="842"/>
      <c r="B23" s="957" t="s">
        <v>1803</v>
      </c>
      <c r="C23" s="908">
        <f>SUM(D23:E23)</f>
        <v>30000</v>
      </c>
      <c r="D23" s="932">
        <v>30000</v>
      </c>
      <c r="E23" s="967"/>
      <c r="F23" s="958"/>
      <c r="G23" s="958"/>
      <c r="H23" s="954">
        <f t="shared" si="0"/>
        <v>0</v>
      </c>
    </row>
    <row r="24" spans="1:8" s="302" customFormat="1" ht="112.5">
      <c r="A24" s="842"/>
      <c r="B24" s="957" t="s">
        <v>1804</v>
      </c>
      <c r="C24" s="908">
        <f>SUM(D24:E24)</f>
        <v>20000</v>
      </c>
      <c r="D24" s="932">
        <v>20000</v>
      </c>
      <c r="E24" s="967"/>
      <c r="F24" s="958"/>
      <c r="G24" s="958"/>
      <c r="H24" s="954">
        <f t="shared" si="0"/>
        <v>0</v>
      </c>
    </row>
    <row r="25" spans="1:8" s="302" customFormat="1" ht="93.75">
      <c r="A25" s="842"/>
      <c r="B25" s="957" t="s">
        <v>1805</v>
      </c>
      <c r="C25" s="908">
        <f>SUM(D25:E25)</f>
        <v>24000</v>
      </c>
      <c r="D25" s="932">
        <v>24000</v>
      </c>
      <c r="E25" s="967"/>
      <c r="F25" s="958"/>
      <c r="G25" s="958"/>
      <c r="H25" s="954">
        <f t="shared" si="0"/>
        <v>0</v>
      </c>
    </row>
    <row r="26" spans="1:8" s="302" customFormat="1" ht="187.5">
      <c r="A26" s="842"/>
      <c r="B26" s="957" t="s">
        <v>1806</v>
      </c>
      <c r="C26" s="908">
        <f>SUM(D26:E26)</f>
        <v>20000</v>
      </c>
      <c r="D26" s="932">
        <v>20000</v>
      </c>
      <c r="E26" s="967"/>
      <c r="F26" s="958"/>
      <c r="G26" s="958"/>
      <c r="H26" s="954">
        <f t="shared" si="0"/>
        <v>0</v>
      </c>
    </row>
    <row r="27" spans="1:8" s="302" customFormat="1" ht="93.75">
      <c r="A27" s="842"/>
      <c r="B27" s="957" t="s">
        <v>2306</v>
      </c>
      <c r="C27" s="908">
        <v>20000</v>
      </c>
      <c r="D27" s="932">
        <v>20000</v>
      </c>
      <c r="E27" s="967"/>
      <c r="F27" s="958"/>
      <c r="G27" s="958"/>
      <c r="H27" s="954">
        <f t="shared" si="0"/>
        <v>0</v>
      </c>
    </row>
    <row r="28" spans="1:8" s="302" customFormat="1" ht="93.75">
      <c r="A28" s="842"/>
      <c r="B28" s="957" t="s">
        <v>2307</v>
      </c>
      <c r="C28" s="908">
        <v>20000</v>
      </c>
      <c r="D28" s="932">
        <v>20000</v>
      </c>
      <c r="E28" s="967"/>
      <c r="F28" s="958"/>
      <c r="G28" s="958"/>
      <c r="H28" s="954">
        <f t="shared" si="0"/>
        <v>0</v>
      </c>
    </row>
    <row r="29" spans="1:8" s="302" customFormat="1" ht="131.25">
      <c r="A29" s="842"/>
      <c r="B29" s="957" t="s">
        <v>2308</v>
      </c>
      <c r="C29" s="908">
        <v>15000</v>
      </c>
      <c r="D29" s="932"/>
      <c r="E29" s="967">
        <v>15000</v>
      </c>
      <c r="F29" s="958"/>
      <c r="G29" s="958"/>
      <c r="H29" s="954">
        <f t="shared" si="0"/>
        <v>0</v>
      </c>
    </row>
    <row r="30" spans="1:8" s="302" customFormat="1" ht="168.75">
      <c r="A30" s="842"/>
      <c r="B30" s="957" t="s">
        <v>2309</v>
      </c>
      <c r="C30" s="908">
        <v>65605</v>
      </c>
      <c r="D30" s="932">
        <v>65605</v>
      </c>
      <c r="E30" s="967"/>
      <c r="F30" s="958"/>
      <c r="G30" s="958"/>
      <c r="H30" s="954">
        <f t="shared" si="0"/>
        <v>0</v>
      </c>
    </row>
    <row r="31" spans="1:8" s="302" customFormat="1" ht="56.25">
      <c r="A31" s="842"/>
      <c r="B31" s="957" t="s">
        <v>2310</v>
      </c>
      <c r="C31" s="908">
        <v>100000</v>
      </c>
      <c r="D31" s="932">
        <v>51063</v>
      </c>
      <c r="E31" s="967">
        <v>48937</v>
      </c>
      <c r="F31" s="958"/>
      <c r="G31" s="958"/>
      <c r="H31" s="954">
        <f t="shared" si="0"/>
        <v>0</v>
      </c>
    </row>
    <row r="32" spans="1:8" s="302" customFormat="1" ht="93.75">
      <c r="A32" s="842"/>
      <c r="B32" s="957" t="s">
        <v>2311</v>
      </c>
      <c r="C32" s="908">
        <v>25000</v>
      </c>
      <c r="D32" s="932">
        <v>25000</v>
      </c>
      <c r="E32" s="967"/>
      <c r="F32" s="958"/>
      <c r="G32" s="958"/>
      <c r="H32" s="954">
        <f t="shared" si="0"/>
        <v>0</v>
      </c>
    </row>
    <row r="33" spans="1:8" s="302" customFormat="1" ht="112.5">
      <c r="A33" s="842"/>
      <c r="B33" s="957" t="s">
        <v>2312</v>
      </c>
      <c r="C33" s="908">
        <v>44994</v>
      </c>
      <c r="D33" s="932">
        <v>44994</v>
      </c>
      <c r="E33" s="967"/>
      <c r="F33" s="958"/>
      <c r="G33" s="958"/>
      <c r="H33" s="954">
        <f t="shared" si="0"/>
        <v>0</v>
      </c>
    </row>
    <row r="34" spans="1:8" s="302" customFormat="1" ht="56.25">
      <c r="A34" s="842"/>
      <c r="B34" s="957" t="s">
        <v>2313</v>
      </c>
      <c r="C34" s="908">
        <v>19000</v>
      </c>
      <c r="D34" s="932">
        <v>19000</v>
      </c>
      <c r="E34" s="967"/>
      <c r="F34" s="958"/>
      <c r="G34" s="958"/>
      <c r="H34" s="954">
        <f t="shared" si="0"/>
        <v>0</v>
      </c>
    </row>
    <row r="35" spans="1:8" s="302" customFormat="1" ht="112.5">
      <c r="A35" s="842"/>
      <c r="B35" s="957" t="s">
        <v>2314</v>
      </c>
      <c r="C35" s="908">
        <v>50000</v>
      </c>
      <c r="D35" s="932">
        <v>50000</v>
      </c>
      <c r="E35" s="967"/>
      <c r="F35" s="958"/>
      <c r="G35" s="958"/>
      <c r="H35" s="954">
        <f t="shared" si="0"/>
        <v>0</v>
      </c>
    </row>
    <row r="36" spans="1:8" s="302" customFormat="1" ht="37.5">
      <c r="A36" s="842"/>
      <c r="B36" s="957" t="s">
        <v>2315</v>
      </c>
      <c r="C36" s="908">
        <v>5100</v>
      </c>
      <c r="D36" s="932">
        <v>5100</v>
      </c>
      <c r="E36" s="967"/>
      <c r="F36" s="958"/>
      <c r="G36" s="958"/>
      <c r="H36" s="954">
        <f t="shared" si="0"/>
        <v>0</v>
      </c>
    </row>
    <row r="37" spans="1:8" s="302" customFormat="1" ht="37.5">
      <c r="A37" s="842"/>
      <c r="B37" s="957" t="s">
        <v>2316</v>
      </c>
      <c r="C37" s="908">
        <v>6000</v>
      </c>
      <c r="D37" s="932">
        <v>6000</v>
      </c>
      <c r="E37" s="967"/>
      <c r="F37" s="958"/>
      <c r="G37" s="958"/>
      <c r="H37" s="954">
        <f t="shared" si="0"/>
        <v>0</v>
      </c>
    </row>
    <row r="38" spans="1:8" s="302" customFormat="1" ht="37.5">
      <c r="A38" s="842"/>
      <c r="B38" s="957" t="s">
        <v>2317</v>
      </c>
      <c r="C38" s="908">
        <v>5000</v>
      </c>
      <c r="D38" s="932">
        <v>5000</v>
      </c>
      <c r="E38" s="967"/>
      <c r="F38" s="958"/>
      <c r="G38" s="958"/>
      <c r="H38" s="954">
        <f t="shared" si="0"/>
        <v>0</v>
      </c>
    </row>
    <row r="39" spans="1:8" s="302" customFormat="1" ht="75">
      <c r="A39" s="842"/>
      <c r="B39" s="957" t="s">
        <v>2318</v>
      </c>
      <c r="C39" s="908">
        <v>10000</v>
      </c>
      <c r="D39" s="932"/>
      <c r="E39" s="967">
        <v>10000</v>
      </c>
      <c r="F39" s="958"/>
      <c r="G39" s="958"/>
      <c r="H39" s="954">
        <f t="shared" si="0"/>
        <v>0</v>
      </c>
    </row>
    <row r="40" spans="1:8" s="302" customFormat="1" ht="112.5">
      <c r="A40" s="842"/>
      <c r="B40" s="957" t="s">
        <v>2319</v>
      </c>
      <c r="C40" s="908">
        <v>10000</v>
      </c>
      <c r="D40" s="932">
        <v>10000</v>
      </c>
      <c r="E40" s="967"/>
      <c r="F40" s="958"/>
      <c r="G40" s="958"/>
      <c r="H40" s="954">
        <f t="shared" si="0"/>
        <v>0</v>
      </c>
    </row>
    <row r="41" spans="1:8" s="302" customFormat="1" ht="93.75">
      <c r="A41" s="842"/>
      <c r="B41" s="957" t="s">
        <v>2320</v>
      </c>
      <c r="C41" s="908">
        <v>15000</v>
      </c>
      <c r="D41" s="932">
        <v>15000</v>
      </c>
      <c r="E41" s="967"/>
      <c r="F41" s="958"/>
      <c r="G41" s="958"/>
      <c r="H41" s="954">
        <f t="shared" si="0"/>
        <v>0</v>
      </c>
    </row>
    <row r="42" spans="1:8" s="302" customFormat="1" ht="75">
      <c r="A42" s="842"/>
      <c r="B42" s="957" t="s">
        <v>2321</v>
      </c>
      <c r="C42" s="908">
        <v>21060</v>
      </c>
      <c r="D42" s="932">
        <v>21060</v>
      </c>
      <c r="E42" s="967"/>
      <c r="F42" s="958"/>
      <c r="G42" s="958"/>
      <c r="H42" s="954">
        <f t="shared" si="0"/>
        <v>0</v>
      </c>
    </row>
    <row r="43" spans="1:8" s="302" customFormat="1" ht="93.75">
      <c r="A43" s="842"/>
      <c r="B43" s="957" t="s">
        <v>2322</v>
      </c>
      <c r="C43" s="908">
        <v>50000</v>
      </c>
      <c r="D43" s="932">
        <v>50000</v>
      </c>
      <c r="E43" s="967"/>
      <c r="F43" s="958"/>
      <c r="G43" s="958"/>
      <c r="H43" s="954">
        <f t="shared" si="0"/>
        <v>0</v>
      </c>
    </row>
    <row r="44" spans="1:8" s="302" customFormat="1" ht="75">
      <c r="A44" s="842"/>
      <c r="B44" s="957" t="s">
        <v>2323</v>
      </c>
      <c r="C44" s="908">
        <v>20000</v>
      </c>
      <c r="D44" s="932">
        <v>20000</v>
      </c>
      <c r="E44" s="967"/>
      <c r="F44" s="958"/>
      <c r="G44" s="958"/>
      <c r="H44" s="954">
        <f t="shared" si="0"/>
        <v>0</v>
      </c>
    </row>
    <row r="45" spans="1:8" s="302" customFormat="1" ht="93.75">
      <c r="A45" s="842"/>
      <c r="B45" s="957" t="s">
        <v>2324</v>
      </c>
      <c r="C45" s="908">
        <v>10000</v>
      </c>
      <c r="D45" s="932">
        <v>10000</v>
      </c>
      <c r="E45" s="967"/>
      <c r="F45" s="958"/>
      <c r="G45" s="958"/>
      <c r="H45" s="954">
        <f t="shared" si="0"/>
        <v>0</v>
      </c>
    </row>
    <row r="46" spans="1:8" s="302" customFormat="1" ht="56.25">
      <c r="A46" s="842"/>
      <c r="B46" s="957" t="s">
        <v>2517</v>
      </c>
      <c r="C46" s="908">
        <v>5000</v>
      </c>
      <c r="D46" s="905">
        <v>5000</v>
      </c>
      <c r="E46" s="969"/>
      <c r="F46" s="958"/>
      <c r="G46" s="958"/>
      <c r="H46" s="954">
        <f t="shared" si="0"/>
        <v>0</v>
      </c>
    </row>
    <row r="47" spans="1:8" s="302" customFormat="1" ht="56.25">
      <c r="A47" s="842"/>
      <c r="B47" s="957" t="s">
        <v>3080</v>
      </c>
      <c r="C47" s="908">
        <f>SUM(D47:E47)</f>
        <v>30000</v>
      </c>
      <c r="D47" s="905">
        <v>30000</v>
      </c>
      <c r="E47" s="969"/>
      <c r="F47" s="958"/>
      <c r="G47" s="958"/>
      <c r="H47" s="954">
        <f t="shared" si="0"/>
        <v>0</v>
      </c>
    </row>
    <row r="48" spans="1:8" s="302" customFormat="1" ht="93.75">
      <c r="A48" s="842"/>
      <c r="B48" s="957" t="s">
        <v>3081</v>
      </c>
      <c r="C48" s="908">
        <f t="shared" ref="C48:C62" si="1">SUM(D48:E48)</f>
        <v>30000</v>
      </c>
      <c r="D48" s="905">
        <v>30000</v>
      </c>
      <c r="E48" s="969"/>
      <c r="F48" s="958"/>
      <c r="G48" s="958"/>
      <c r="H48" s="954">
        <f t="shared" si="0"/>
        <v>0</v>
      </c>
    </row>
    <row r="49" spans="1:8" s="302" customFormat="1" ht="75">
      <c r="A49" s="842"/>
      <c r="B49" s="957" t="s">
        <v>3082</v>
      </c>
      <c r="C49" s="908">
        <f t="shared" si="1"/>
        <v>8000</v>
      </c>
      <c r="D49" s="905"/>
      <c r="E49" s="969">
        <v>8000</v>
      </c>
      <c r="F49" s="958"/>
      <c r="G49" s="958"/>
      <c r="H49" s="954">
        <f t="shared" si="0"/>
        <v>0</v>
      </c>
    </row>
    <row r="50" spans="1:8" s="302" customFormat="1" ht="56.25">
      <c r="A50" s="842"/>
      <c r="B50" s="957" t="s">
        <v>3083</v>
      </c>
      <c r="C50" s="908">
        <f t="shared" si="1"/>
        <v>14000</v>
      </c>
      <c r="D50" s="905">
        <v>14000</v>
      </c>
      <c r="E50" s="969"/>
      <c r="F50" s="958"/>
      <c r="G50" s="958"/>
      <c r="H50" s="954">
        <f t="shared" si="0"/>
        <v>0</v>
      </c>
    </row>
    <row r="51" spans="1:8" s="302" customFormat="1" ht="56.25">
      <c r="A51" s="842"/>
      <c r="B51" s="957" t="s">
        <v>3084</v>
      </c>
      <c r="C51" s="908">
        <f t="shared" si="1"/>
        <v>15000</v>
      </c>
      <c r="D51" s="905">
        <v>15000</v>
      </c>
      <c r="E51" s="969"/>
      <c r="F51" s="958"/>
      <c r="G51" s="958"/>
      <c r="H51" s="954">
        <f t="shared" si="0"/>
        <v>0</v>
      </c>
    </row>
    <row r="52" spans="1:8" s="302" customFormat="1" ht="37.5">
      <c r="A52" s="842"/>
      <c r="B52" s="957" t="s">
        <v>3085</v>
      </c>
      <c r="C52" s="908">
        <f t="shared" si="1"/>
        <v>20000</v>
      </c>
      <c r="D52" s="905">
        <v>20000</v>
      </c>
      <c r="E52" s="969"/>
      <c r="F52" s="958"/>
      <c r="G52" s="958"/>
      <c r="H52" s="954">
        <f t="shared" si="0"/>
        <v>0</v>
      </c>
    </row>
    <row r="53" spans="1:8" s="302" customFormat="1" ht="37.5">
      <c r="A53" s="842"/>
      <c r="B53" s="957" t="s">
        <v>3085</v>
      </c>
      <c r="C53" s="908">
        <f t="shared" si="1"/>
        <v>20000</v>
      </c>
      <c r="D53" s="905">
        <v>20000</v>
      </c>
      <c r="E53" s="969"/>
      <c r="F53" s="958"/>
      <c r="G53" s="958"/>
      <c r="H53" s="954">
        <f t="shared" si="0"/>
        <v>0</v>
      </c>
    </row>
    <row r="54" spans="1:8" s="302" customFormat="1" ht="37.5">
      <c r="A54" s="842"/>
      <c r="B54" s="957" t="s">
        <v>3086</v>
      </c>
      <c r="C54" s="908">
        <f t="shared" si="1"/>
        <v>35000</v>
      </c>
      <c r="D54" s="905"/>
      <c r="E54" s="969">
        <v>35000</v>
      </c>
      <c r="F54" s="958"/>
      <c r="G54" s="958"/>
      <c r="H54" s="954">
        <f t="shared" si="0"/>
        <v>0</v>
      </c>
    </row>
    <row r="55" spans="1:8" s="302" customFormat="1" ht="56.25">
      <c r="A55" s="842"/>
      <c r="B55" s="957" t="s">
        <v>3087</v>
      </c>
      <c r="C55" s="908">
        <f t="shared" si="1"/>
        <v>29400</v>
      </c>
      <c r="D55" s="905">
        <v>29400</v>
      </c>
      <c r="E55" s="969"/>
      <c r="F55" s="958"/>
      <c r="G55" s="958"/>
      <c r="H55" s="954">
        <f t="shared" si="0"/>
        <v>0</v>
      </c>
    </row>
    <row r="56" spans="1:8" s="302" customFormat="1" ht="37.5">
      <c r="A56" s="842"/>
      <c r="B56" s="957" t="s">
        <v>3085</v>
      </c>
      <c r="C56" s="908">
        <f t="shared" si="1"/>
        <v>20000</v>
      </c>
      <c r="D56" s="905">
        <v>20000</v>
      </c>
      <c r="E56" s="969"/>
      <c r="F56" s="958"/>
      <c r="G56" s="958"/>
      <c r="H56" s="954">
        <f t="shared" si="0"/>
        <v>0</v>
      </c>
    </row>
    <row r="57" spans="1:8" s="302" customFormat="1" ht="56.25">
      <c r="A57" s="842"/>
      <c r="B57" s="957" t="s">
        <v>3088</v>
      </c>
      <c r="C57" s="908">
        <f t="shared" si="1"/>
        <v>60141</v>
      </c>
      <c r="D57" s="905">
        <v>60141</v>
      </c>
      <c r="E57" s="969"/>
      <c r="F57" s="958"/>
      <c r="G57" s="958"/>
      <c r="H57" s="954">
        <f t="shared" si="0"/>
        <v>0</v>
      </c>
    </row>
    <row r="58" spans="1:8" s="302" customFormat="1" ht="37.5">
      <c r="A58" s="842"/>
      <c r="B58" s="957" t="s">
        <v>3089</v>
      </c>
      <c r="C58" s="908">
        <f t="shared" si="1"/>
        <v>3000</v>
      </c>
      <c r="D58" s="905">
        <v>3000</v>
      </c>
      <c r="E58" s="969"/>
      <c r="F58" s="958"/>
      <c r="G58" s="958"/>
      <c r="H58" s="954">
        <f t="shared" si="0"/>
        <v>0</v>
      </c>
    </row>
    <row r="59" spans="1:8" s="302" customFormat="1" ht="75">
      <c r="A59" s="842"/>
      <c r="B59" s="957" t="s">
        <v>3090</v>
      </c>
      <c r="C59" s="908">
        <f t="shared" si="1"/>
        <v>7000</v>
      </c>
      <c r="D59" s="905">
        <v>7000</v>
      </c>
      <c r="E59" s="969"/>
      <c r="F59" s="958"/>
      <c r="G59" s="958"/>
      <c r="H59" s="954">
        <f t="shared" si="0"/>
        <v>0</v>
      </c>
    </row>
    <row r="60" spans="1:8" s="302" customFormat="1" ht="37.5">
      <c r="A60" s="842"/>
      <c r="B60" s="957" t="s">
        <v>3091</v>
      </c>
      <c r="C60" s="908">
        <f t="shared" si="1"/>
        <v>5000</v>
      </c>
      <c r="D60" s="905">
        <v>5000</v>
      </c>
      <c r="E60" s="969"/>
      <c r="F60" s="958"/>
      <c r="G60" s="958"/>
      <c r="H60" s="954">
        <f t="shared" si="0"/>
        <v>0</v>
      </c>
    </row>
    <row r="61" spans="1:8" s="302" customFormat="1" ht="75">
      <c r="A61" s="842"/>
      <c r="B61" s="957" t="s">
        <v>3092</v>
      </c>
      <c r="C61" s="908">
        <f t="shared" si="1"/>
        <v>15000</v>
      </c>
      <c r="D61" s="905">
        <v>15000</v>
      </c>
      <c r="E61" s="969"/>
      <c r="F61" s="958"/>
      <c r="G61" s="958"/>
      <c r="H61" s="954">
        <f t="shared" si="0"/>
        <v>0</v>
      </c>
    </row>
    <row r="62" spans="1:8" s="302" customFormat="1" ht="93.75">
      <c r="A62" s="842"/>
      <c r="B62" s="957" t="s">
        <v>3093</v>
      </c>
      <c r="C62" s="908">
        <f t="shared" si="1"/>
        <v>15000</v>
      </c>
      <c r="D62" s="905">
        <v>15000</v>
      </c>
      <c r="E62" s="969"/>
      <c r="F62" s="958"/>
      <c r="G62" s="958"/>
      <c r="H62" s="954">
        <f t="shared" si="0"/>
        <v>0</v>
      </c>
    </row>
    <row r="63" spans="1:8" s="302" customFormat="1" ht="56.25">
      <c r="A63" s="842"/>
      <c r="B63" s="957" t="s">
        <v>3168</v>
      </c>
      <c r="C63" s="908">
        <f>SUM(D63:E63)</f>
        <v>13000</v>
      </c>
      <c r="D63" s="905">
        <v>13000</v>
      </c>
      <c r="E63" s="969"/>
      <c r="F63" s="958"/>
      <c r="G63" s="958"/>
      <c r="H63" s="954"/>
    </row>
    <row r="64" spans="1:8" s="302" customFormat="1" ht="56.25">
      <c r="A64" s="842"/>
      <c r="B64" s="957" t="s">
        <v>3169</v>
      </c>
      <c r="C64" s="908">
        <f>SUM(D64:E64)</f>
        <v>9965</v>
      </c>
      <c r="D64" s="905">
        <v>9965</v>
      </c>
      <c r="E64" s="969"/>
      <c r="F64" s="958"/>
      <c r="G64" s="958"/>
      <c r="H64" s="954"/>
    </row>
    <row r="65" spans="1:16" s="302" customFormat="1" ht="56.25">
      <c r="A65" s="842"/>
      <c r="B65" s="959" t="s">
        <v>3170</v>
      </c>
      <c r="C65" s="908">
        <f>SUM(D65:E65)</f>
        <v>7887</v>
      </c>
      <c r="D65" s="905"/>
      <c r="E65" s="969">
        <v>7887</v>
      </c>
      <c r="F65" s="958"/>
      <c r="G65" s="958"/>
      <c r="H65" s="954"/>
    </row>
    <row r="66" spans="1:16" s="302" customFormat="1" ht="75">
      <c r="A66" s="842"/>
      <c r="B66" s="861" t="s">
        <v>3171</v>
      </c>
      <c r="C66" s="908">
        <f>SUM(D66:E66)</f>
        <v>4200</v>
      </c>
      <c r="D66" s="905">
        <v>4200</v>
      </c>
      <c r="E66" s="969"/>
      <c r="F66" s="958"/>
      <c r="G66" s="958"/>
      <c r="H66" s="954"/>
    </row>
    <row r="67" spans="1:16" s="955" customFormat="1" ht="131.25">
      <c r="A67" s="965" t="s">
        <v>1636</v>
      </c>
      <c r="B67" s="973" t="s">
        <v>1582</v>
      </c>
      <c r="C67" s="966">
        <v>1000000</v>
      </c>
      <c r="D67" s="966">
        <f>963500-122257</f>
        <v>841243</v>
      </c>
      <c r="E67" s="966">
        <f>36500+122257</f>
        <v>158757</v>
      </c>
      <c r="F67" s="953"/>
      <c r="G67" s="953"/>
      <c r="H67" s="954">
        <f t="shared" ref="H67:H106" si="2">D67+E67-C67</f>
        <v>0</v>
      </c>
      <c r="L67" s="955" t="s">
        <v>1640</v>
      </c>
    </row>
    <row r="68" spans="1:16" s="463" customFormat="1" ht="135.6" customHeight="1">
      <c r="A68" s="965" t="s">
        <v>1642</v>
      </c>
      <c r="B68" s="973" t="s">
        <v>1825</v>
      </c>
      <c r="C68" s="966">
        <f>SUM(D68:E68)</f>
        <v>525000</v>
      </c>
      <c r="D68" s="966">
        <f>73000+257702+25000+100000</f>
        <v>455702</v>
      </c>
      <c r="E68" s="966">
        <f>27000+42298</f>
        <v>69298</v>
      </c>
      <c r="F68" s="960"/>
      <c r="G68" s="960"/>
      <c r="H68" s="954">
        <f t="shared" si="2"/>
        <v>0</v>
      </c>
      <c r="J68" s="774">
        <f>D68+D69+D74+D75-дод3!E31</f>
        <v>5731936</v>
      </c>
      <c r="K68" s="774">
        <f>E68+E69-дод3!J31</f>
        <v>1535689</v>
      </c>
    </row>
    <row r="69" spans="1:16" s="955" customFormat="1" ht="93.75">
      <c r="A69" s="965" t="s">
        <v>1641</v>
      </c>
      <c r="B69" s="973" t="s">
        <v>1645</v>
      </c>
      <c r="C69" s="966">
        <f>SUM(C71:C73)</f>
        <v>6706600</v>
      </c>
      <c r="D69" s="966">
        <f>SUM(D71:D73)</f>
        <v>5012154</v>
      </c>
      <c r="E69" s="966">
        <f>SUM(E71:E73)</f>
        <v>1694446</v>
      </c>
      <c r="F69" s="953"/>
      <c r="G69" s="953"/>
      <c r="H69" s="954">
        <f t="shared" si="2"/>
        <v>0</v>
      </c>
      <c r="M69" s="954">
        <f>C69+C74+C75+C85+C90+C93</f>
        <v>14297900</v>
      </c>
      <c r="N69" s="954">
        <f>D69+D74+D75+D85+D90+D93</f>
        <v>7671079</v>
      </c>
      <c r="O69" s="954">
        <f>E69+E74+E75+E85+E90+E93</f>
        <v>6626821</v>
      </c>
      <c r="P69" s="954">
        <f>F69+F74+F75+F85+F90+F93</f>
        <v>0</v>
      </c>
    </row>
    <row r="70" spans="1:16" s="962" customFormat="1">
      <c r="A70" s="957"/>
      <c r="B70" s="842" t="s">
        <v>346</v>
      </c>
      <c r="C70" s="967"/>
      <c r="D70" s="916"/>
      <c r="E70" s="967"/>
      <c r="F70" s="961"/>
      <c r="G70" s="961"/>
      <c r="H70" s="954">
        <f t="shared" si="2"/>
        <v>0</v>
      </c>
    </row>
    <row r="71" spans="1:16" s="302" customFormat="1">
      <c r="A71" s="842"/>
      <c r="B71" s="331" t="s">
        <v>1655</v>
      </c>
      <c r="C71" s="473">
        <f>SUM(D71:E71)</f>
        <v>2351900</v>
      </c>
      <c r="D71" s="970">
        <f>1200000+713400+438500</f>
        <v>2351900</v>
      </c>
      <c r="E71" s="970"/>
      <c r="F71" s="841"/>
      <c r="G71" s="841"/>
      <c r="H71" s="954">
        <f t="shared" si="2"/>
        <v>0</v>
      </c>
    </row>
    <row r="72" spans="1:16" s="302" customFormat="1" ht="37.5">
      <c r="A72" s="842"/>
      <c r="B72" s="331" t="s">
        <v>1654</v>
      </c>
      <c r="C72" s="473">
        <f>SUM(D72:E72)</f>
        <v>1558400</v>
      </c>
      <c r="D72" s="970">
        <f>34400+31104</f>
        <v>65504</v>
      </c>
      <c r="E72" s="970">
        <f>1524000-31104</f>
        <v>1492896</v>
      </c>
      <c r="F72" s="841"/>
      <c r="G72" s="841"/>
      <c r="H72" s="954">
        <f t="shared" si="2"/>
        <v>0</v>
      </c>
    </row>
    <row r="73" spans="1:16" s="302" customFormat="1">
      <c r="A73" s="842"/>
      <c r="B73" s="331" t="s">
        <v>2327</v>
      </c>
      <c r="C73" s="473">
        <f>SUM(D73:E73)</f>
        <v>2796300</v>
      </c>
      <c r="D73" s="970">
        <f>845000+1296150+249800+103800+100000</f>
        <v>2594750</v>
      </c>
      <c r="E73" s="970">
        <v>201550</v>
      </c>
      <c r="F73" s="841"/>
      <c r="G73" s="841"/>
      <c r="H73" s="954">
        <f t="shared" si="2"/>
        <v>0</v>
      </c>
    </row>
    <row r="74" spans="1:16" s="955" customFormat="1" ht="96.6" customHeight="1">
      <c r="A74" s="965" t="s">
        <v>1826</v>
      </c>
      <c r="B74" s="973" t="s">
        <v>1644</v>
      </c>
      <c r="C74" s="966">
        <f>500000+400000+250000</f>
        <v>1150000</v>
      </c>
      <c r="D74" s="966">
        <f>478000+400000+250000</f>
        <v>1128000</v>
      </c>
      <c r="E74" s="966">
        <v>22000</v>
      </c>
      <c r="F74" s="953"/>
      <c r="G74" s="953"/>
      <c r="H74" s="954">
        <f t="shared" si="2"/>
        <v>0</v>
      </c>
    </row>
    <row r="75" spans="1:16" s="463" customFormat="1" ht="112.5">
      <c r="A75" s="965" t="s">
        <v>1827</v>
      </c>
      <c r="B75" s="973" t="s">
        <v>1643</v>
      </c>
      <c r="C75" s="966">
        <f>SUM(C77:C84)</f>
        <v>1800400</v>
      </c>
      <c r="D75" s="966">
        <f>SUM(D77:D84)</f>
        <v>433025</v>
      </c>
      <c r="E75" s="966">
        <f>SUM(E77:E84)</f>
        <v>1367375</v>
      </c>
      <c r="F75" s="960"/>
      <c r="G75" s="960"/>
      <c r="H75" s="954">
        <f t="shared" si="2"/>
        <v>0</v>
      </c>
    </row>
    <row r="76" spans="1:16" s="302" customFormat="1">
      <c r="A76" s="310"/>
      <c r="B76" s="842" t="s">
        <v>346</v>
      </c>
      <c r="C76" s="916"/>
      <c r="D76" s="916"/>
      <c r="E76" s="916"/>
      <c r="F76" s="841"/>
      <c r="G76" s="841"/>
      <c r="H76" s="954">
        <f t="shared" si="2"/>
        <v>0</v>
      </c>
    </row>
    <row r="77" spans="1:16" s="302" customFormat="1" ht="56.25">
      <c r="A77" s="842"/>
      <c r="B77" s="331" t="s">
        <v>1656</v>
      </c>
      <c r="C77" s="916">
        <v>185400</v>
      </c>
      <c r="D77" s="967">
        <v>185400</v>
      </c>
      <c r="E77" s="967"/>
      <c r="F77" s="841"/>
      <c r="G77" s="841"/>
      <c r="H77" s="954">
        <f t="shared" si="2"/>
        <v>0</v>
      </c>
    </row>
    <row r="78" spans="1:16" s="302" customFormat="1" ht="75">
      <c r="A78" s="842"/>
      <c r="B78" s="331" t="s">
        <v>1657</v>
      </c>
      <c r="C78" s="916">
        <v>35000</v>
      </c>
      <c r="D78" s="967"/>
      <c r="E78" s="967">
        <v>35000</v>
      </c>
      <c r="F78" s="841"/>
      <c r="G78" s="841"/>
      <c r="H78" s="954">
        <f t="shared" si="2"/>
        <v>0</v>
      </c>
    </row>
    <row r="79" spans="1:16" s="302" customFormat="1" ht="93.75">
      <c r="A79" s="842"/>
      <c r="B79" s="331" t="s">
        <v>1658</v>
      </c>
      <c r="C79" s="916">
        <v>500000</v>
      </c>
      <c r="D79" s="967">
        <v>37175</v>
      </c>
      <c r="E79" s="967">
        <v>462825</v>
      </c>
      <c r="F79" s="841"/>
      <c r="G79" s="841"/>
      <c r="H79" s="954">
        <f t="shared" si="2"/>
        <v>0</v>
      </c>
    </row>
    <row r="80" spans="1:16" s="302" customFormat="1" ht="56.25">
      <c r="A80" s="842"/>
      <c r="B80" s="331" t="s">
        <v>2328</v>
      </c>
      <c r="C80" s="916">
        <v>200000</v>
      </c>
      <c r="D80" s="967"/>
      <c r="E80" s="967">
        <v>200000</v>
      </c>
      <c r="F80" s="841"/>
      <c r="G80" s="841"/>
      <c r="H80" s="954">
        <f t="shared" si="2"/>
        <v>0</v>
      </c>
    </row>
    <row r="81" spans="1:8" s="302" customFormat="1" ht="56.25">
      <c r="A81" s="842"/>
      <c r="B81" s="331" t="s">
        <v>2329</v>
      </c>
      <c r="C81" s="916">
        <v>100000</v>
      </c>
      <c r="D81" s="967">
        <v>100000</v>
      </c>
      <c r="E81" s="967"/>
      <c r="F81" s="841"/>
      <c r="G81" s="841"/>
      <c r="H81" s="954">
        <f t="shared" si="2"/>
        <v>0</v>
      </c>
    </row>
    <row r="82" spans="1:8" s="302" customFormat="1" ht="37.5">
      <c r="A82" s="842"/>
      <c r="B82" s="331" t="s">
        <v>3095</v>
      </c>
      <c r="C82" s="916">
        <v>140000</v>
      </c>
      <c r="D82" s="967"/>
      <c r="E82" s="967">
        <v>140000</v>
      </c>
      <c r="F82" s="841"/>
      <c r="G82" s="841"/>
      <c r="H82" s="954">
        <f t="shared" si="2"/>
        <v>0</v>
      </c>
    </row>
    <row r="83" spans="1:8" s="302" customFormat="1" ht="93.75">
      <c r="A83" s="842"/>
      <c r="B83" s="331" t="s">
        <v>3096</v>
      </c>
      <c r="C83" s="916">
        <v>140000</v>
      </c>
      <c r="D83" s="967">
        <v>110450</v>
      </c>
      <c r="E83" s="967">
        <v>29550</v>
      </c>
      <c r="F83" s="841"/>
      <c r="G83" s="841"/>
      <c r="H83" s="954">
        <f t="shared" si="2"/>
        <v>0</v>
      </c>
    </row>
    <row r="84" spans="1:8" s="302" customFormat="1" ht="56.25" customHeight="1">
      <c r="A84" s="842"/>
      <c r="B84" s="331" t="s">
        <v>3097</v>
      </c>
      <c r="C84" s="916">
        <v>500000</v>
      </c>
      <c r="D84" s="967"/>
      <c r="E84" s="967">
        <v>500000</v>
      </c>
      <c r="F84" s="841"/>
      <c r="G84" s="841"/>
      <c r="H84" s="954">
        <f t="shared" si="2"/>
        <v>0</v>
      </c>
    </row>
    <row r="85" spans="1:8" s="463" customFormat="1" ht="150">
      <c r="A85" s="965" t="s">
        <v>1648</v>
      </c>
      <c r="B85" s="973" t="s">
        <v>1646</v>
      </c>
      <c r="C85" s="966">
        <f>SUM(C87:C89)</f>
        <v>800000</v>
      </c>
      <c r="D85" s="966">
        <f>SUM(D87:D89)</f>
        <v>250000</v>
      </c>
      <c r="E85" s="966">
        <f>SUM(E87:E89)</f>
        <v>550000</v>
      </c>
      <c r="F85" s="960"/>
      <c r="G85" s="960"/>
      <c r="H85" s="954">
        <f t="shared" si="2"/>
        <v>0</v>
      </c>
    </row>
    <row r="86" spans="1:8" s="302" customFormat="1">
      <c r="A86" s="310"/>
      <c r="B86" s="842" t="s">
        <v>346</v>
      </c>
      <c r="C86" s="916"/>
      <c r="D86" s="967"/>
      <c r="E86" s="967"/>
      <c r="F86" s="841"/>
      <c r="G86" s="841"/>
      <c r="H86" s="954">
        <f t="shared" si="2"/>
        <v>0</v>
      </c>
    </row>
    <row r="87" spans="1:8" s="302" customFormat="1">
      <c r="A87" s="842"/>
      <c r="B87" s="331" t="s">
        <v>1659</v>
      </c>
      <c r="C87" s="916">
        <v>550000</v>
      </c>
      <c r="D87" s="967"/>
      <c r="E87" s="967">
        <v>550000</v>
      </c>
      <c r="F87" s="841"/>
      <c r="G87" s="841"/>
      <c r="H87" s="954">
        <f t="shared" si="2"/>
        <v>0</v>
      </c>
    </row>
    <row r="88" spans="1:8" s="302" customFormat="1">
      <c r="A88" s="842"/>
      <c r="B88" s="331" t="s">
        <v>1647</v>
      </c>
      <c r="C88" s="916">
        <v>150000</v>
      </c>
      <c r="D88" s="967">
        <v>150000</v>
      </c>
      <c r="E88" s="967"/>
      <c r="F88" s="841"/>
      <c r="G88" s="841"/>
      <c r="H88" s="954">
        <f t="shared" si="2"/>
        <v>0</v>
      </c>
    </row>
    <row r="89" spans="1:8" s="302" customFormat="1" ht="75">
      <c r="A89" s="842"/>
      <c r="B89" s="331" t="s">
        <v>2330</v>
      </c>
      <c r="C89" s="916">
        <v>100000</v>
      </c>
      <c r="D89" s="967">
        <v>100000</v>
      </c>
      <c r="E89" s="967"/>
      <c r="F89" s="841"/>
      <c r="G89" s="841"/>
      <c r="H89" s="954">
        <f t="shared" si="2"/>
        <v>0</v>
      </c>
    </row>
    <row r="90" spans="1:8" s="463" customFormat="1" ht="75">
      <c r="A90" s="965" t="s">
        <v>1649</v>
      </c>
      <c r="B90" s="973" t="s">
        <v>1650</v>
      </c>
      <c r="C90" s="966">
        <v>200000</v>
      </c>
      <c r="D90" s="966"/>
      <c r="E90" s="966">
        <v>200000</v>
      </c>
      <c r="F90" s="960"/>
      <c r="G90" s="960"/>
      <c r="H90" s="954">
        <f t="shared" si="2"/>
        <v>0</v>
      </c>
    </row>
    <row r="91" spans="1:8" s="302" customFormat="1">
      <c r="A91" s="310"/>
      <c r="B91" s="842" t="s">
        <v>346</v>
      </c>
      <c r="C91" s="916"/>
      <c r="D91" s="967"/>
      <c r="E91" s="967"/>
      <c r="F91" s="841"/>
      <c r="G91" s="841"/>
      <c r="H91" s="954">
        <f t="shared" si="2"/>
        <v>0</v>
      </c>
    </row>
    <row r="92" spans="1:8" s="302" customFormat="1" ht="37.5">
      <c r="A92" s="842"/>
      <c r="B92" s="331" t="s">
        <v>1669</v>
      </c>
      <c r="C92" s="916">
        <v>200000</v>
      </c>
      <c r="D92" s="967"/>
      <c r="E92" s="967">
        <v>200000</v>
      </c>
      <c r="F92" s="841"/>
      <c r="G92" s="841"/>
      <c r="H92" s="954">
        <f t="shared" si="2"/>
        <v>0</v>
      </c>
    </row>
    <row r="93" spans="1:8" s="463" customFormat="1" ht="56.25">
      <c r="A93" s="965" t="s">
        <v>1824</v>
      </c>
      <c r="B93" s="973" t="s">
        <v>1651</v>
      </c>
      <c r="C93" s="966">
        <f>SUM(C95:C104)</f>
        <v>3640900</v>
      </c>
      <c r="D93" s="966">
        <f>SUM(D95:D104)</f>
        <v>847900</v>
      </c>
      <c r="E93" s="966">
        <f>SUM(E95:E104)</f>
        <v>2793000</v>
      </c>
      <c r="F93" s="960"/>
      <c r="G93" s="960"/>
      <c r="H93" s="954">
        <f t="shared" si="2"/>
        <v>0</v>
      </c>
    </row>
    <row r="94" spans="1:8" s="302" customFormat="1">
      <c r="A94" s="310"/>
      <c r="B94" s="842" t="s">
        <v>346</v>
      </c>
      <c r="C94" s="916"/>
      <c r="D94" s="967"/>
      <c r="E94" s="967"/>
      <c r="F94" s="841"/>
      <c r="G94" s="841"/>
      <c r="H94" s="954">
        <f t="shared" si="2"/>
        <v>0</v>
      </c>
    </row>
    <row r="95" spans="1:8" s="302" customFormat="1" ht="56.25">
      <c r="A95" s="842"/>
      <c r="B95" s="331" t="s">
        <v>1652</v>
      </c>
      <c r="C95" s="916">
        <v>1000000</v>
      </c>
      <c r="D95" s="967"/>
      <c r="E95" s="967">
        <v>1000000</v>
      </c>
      <c r="F95" s="841"/>
      <c r="G95" s="841"/>
      <c r="H95" s="954">
        <f t="shared" si="2"/>
        <v>0</v>
      </c>
    </row>
    <row r="96" spans="1:8" s="302" customFormat="1" ht="56.25">
      <c r="A96" s="310"/>
      <c r="B96" s="331" t="s">
        <v>2331</v>
      </c>
      <c r="C96" s="916">
        <v>264000</v>
      </c>
      <c r="D96" s="967">
        <v>198000</v>
      </c>
      <c r="E96" s="967">
        <v>66000</v>
      </c>
      <c r="F96" s="841"/>
      <c r="G96" s="841"/>
      <c r="H96" s="954">
        <f t="shared" si="2"/>
        <v>0</v>
      </c>
    </row>
    <row r="97" spans="1:8" s="302" customFormat="1" ht="56.25">
      <c r="A97" s="310"/>
      <c r="B97" s="331" t="s">
        <v>2332</v>
      </c>
      <c r="C97" s="916">
        <v>700000</v>
      </c>
      <c r="D97" s="967"/>
      <c r="E97" s="967">
        <v>700000</v>
      </c>
      <c r="F97" s="841"/>
      <c r="G97" s="841"/>
      <c r="H97" s="954">
        <f t="shared" si="2"/>
        <v>0</v>
      </c>
    </row>
    <row r="98" spans="1:8" s="302" customFormat="1" ht="75">
      <c r="A98" s="310"/>
      <c r="B98" s="972" t="s">
        <v>2333</v>
      </c>
      <c r="C98" s="947">
        <v>400000</v>
      </c>
      <c r="D98" s="967"/>
      <c r="E98" s="967">
        <v>400000</v>
      </c>
      <c r="F98" s="841"/>
      <c r="G98" s="841"/>
      <c r="H98" s="954">
        <f t="shared" si="2"/>
        <v>0</v>
      </c>
    </row>
    <row r="99" spans="1:8" s="302" customFormat="1" ht="112.5">
      <c r="A99" s="310"/>
      <c r="B99" s="972" t="s">
        <v>2334</v>
      </c>
      <c r="C99" s="947">
        <v>500000</v>
      </c>
      <c r="D99" s="967">
        <v>100000</v>
      </c>
      <c r="E99" s="967">
        <v>400000</v>
      </c>
      <c r="F99" s="841"/>
      <c r="G99" s="841"/>
      <c r="H99" s="954">
        <f t="shared" si="2"/>
        <v>0</v>
      </c>
    </row>
    <row r="100" spans="1:8" s="302" customFormat="1" ht="75">
      <c r="A100" s="310"/>
      <c r="B100" s="972" t="s">
        <v>3143</v>
      </c>
      <c r="C100" s="947">
        <f>246900-200000</f>
        <v>46900</v>
      </c>
      <c r="D100" s="969">
        <v>19900</v>
      </c>
      <c r="E100" s="969">
        <f>227000-200000</f>
        <v>27000</v>
      </c>
      <c r="F100" s="841"/>
      <c r="G100" s="841"/>
      <c r="H100" s="954">
        <f t="shared" si="2"/>
        <v>0</v>
      </c>
    </row>
    <row r="101" spans="1:8" s="302" customFormat="1" ht="56.25">
      <c r="A101" s="310"/>
      <c r="B101" s="972" t="s">
        <v>2335</v>
      </c>
      <c r="C101" s="947">
        <v>200000</v>
      </c>
      <c r="D101" s="967">
        <v>200000</v>
      </c>
      <c r="E101" s="967"/>
      <c r="F101" s="841"/>
      <c r="G101" s="841"/>
      <c r="H101" s="954">
        <f t="shared" si="2"/>
        <v>0</v>
      </c>
    </row>
    <row r="102" spans="1:8" s="302" customFormat="1" ht="37.5">
      <c r="A102" s="310"/>
      <c r="B102" s="310" t="s">
        <v>2336</v>
      </c>
      <c r="C102" s="905">
        <v>50000</v>
      </c>
      <c r="D102" s="967">
        <v>50000</v>
      </c>
      <c r="E102" s="967"/>
      <c r="F102" s="841"/>
      <c r="G102" s="841"/>
      <c r="H102" s="954">
        <f t="shared" si="2"/>
        <v>0</v>
      </c>
    </row>
    <row r="103" spans="1:8" s="302" customFormat="1" ht="84" customHeight="1">
      <c r="A103" s="310"/>
      <c r="B103" s="310" t="s">
        <v>3094</v>
      </c>
      <c r="C103" s="905">
        <v>280000</v>
      </c>
      <c r="D103" s="967">
        <v>280000</v>
      </c>
      <c r="E103" s="967"/>
      <c r="F103" s="841"/>
      <c r="G103" s="841"/>
      <c r="H103" s="954">
        <f t="shared" si="2"/>
        <v>0</v>
      </c>
    </row>
    <row r="104" spans="1:8" s="302" customFormat="1" ht="75">
      <c r="A104" s="310"/>
      <c r="B104" s="310" t="s">
        <v>3144</v>
      </c>
      <c r="C104" s="908">
        <v>200000</v>
      </c>
      <c r="D104" s="908"/>
      <c r="E104" s="905">
        <v>200000</v>
      </c>
      <c r="F104" s="841"/>
      <c r="G104" s="841"/>
      <c r="H104" s="954">
        <f t="shared" si="2"/>
        <v>0</v>
      </c>
    </row>
    <row r="105" spans="1:8" s="463" customFormat="1">
      <c r="A105" s="963"/>
      <c r="B105" s="964" t="s">
        <v>253</v>
      </c>
      <c r="C105" s="971">
        <f>C8+C67+C69+C74+C75+C85+C90+C93+C68</f>
        <v>17161772</v>
      </c>
      <c r="D105" s="971">
        <f>D8+D67+D69+D74+D75+D85+D90+D93+D68</f>
        <v>10028330</v>
      </c>
      <c r="E105" s="971">
        <f>E8+E67+E69+E74+E75+E85+E90+E93+E68</f>
        <v>7133442</v>
      </c>
      <c r="F105" s="960"/>
      <c r="G105" s="960"/>
      <c r="H105" s="954">
        <f t="shared" si="2"/>
        <v>0</v>
      </c>
    </row>
    <row r="106" spans="1:8">
      <c r="C106" s="876"/>
      <c r="D106" s="876"/>
      <c r="E106" s="876"/>
      <c r="H106" s="954">
        <f t="shared" si="2"/>
        <v>0</v>
      </c>
    </row>
    <row r="107" spans="1:8">
      <c r="B107" s="489" t="s">
        <v>271</v>
      </c>
      <c r="C107" s="660"/>
      <c r="D107" s="661"/>
      <c r="E107" s="489" t="s">
        <v>272</v>
      </c>
      <c r="G107" s="673"/>
    </row>
    <row r="108" spans="1:8" hidden="1">
      <c r="C108" s="876"/>
      <c r="D108" s="876"/>
      <c r="E108" s="876"/>
    </row>
    <row r="109" spans="1:8" hidden="1">
      <c r="C109" s="876"/>
      <c r="D109" s="876"/>
      <c r="E109" s="876"/>
    </row>
    <row r="110" spans="1:8" hidden="1">
      <c r="C110" s="876"/>
      <c r="D110" s="876"/>
      <c r="E110" s="876"/>
    </row>
    <row r="111" spans="1:8" hidden="1">
      <c r="C111" s="876"/>
      <c r="D111" s="876"/>
      <c r="E111" s="876"/>
    </row>
    <row r="112" spans="1:8" s="302" customFormat="1" hidden="1">
      <c r="B112" s="302" t="s">
        <v>1</v>
      </c>
      <c r="C112" s="877">
        <f>C105-дод5!BR115</f>
        <v>0</v>
      </c>
      <c r="D112" s="877">
        <f>D105-дод5!AN115</f>
        <v>0</v>
      </c>
      <c r="E112" s="877">
        <f>E105-дод5!AX115</f>
        <v>0</v>
      </c>
    </row>
    <row r="113" spans="3:7" s="302" customFormat="1" hidden="1">
      <c r="C113" s="877"/>
      <c r="D113" s="877"/>
      <c r="E113" s="877"/>
    </row>
    <row r="114" spans="3:7" s="302" customFormat="1" hidden="1">
      <c r="C114" s="877"/>
      <c r="D114" s="877"/>
      <c r="E114" s="877"/>
    </row>
    <row r="115" spans="3:7" s="302" customFormat="1" hidden="1">
      <c r="C115" s="877"/>
      <c r="D115" s="877"/>
      <c r="E115" s="877"/>
    </row>
    <row r="116" spans="3:7" s="302" customFormat="1" hidden="1">
      <c r="C116" s="877"/>
      <c r="D116" s="877"/>
      <c r="E116" s="877"/>
    </row>
    <row r="117" spans="3:7" s="302" customFormat="1" hidden="1">
      <c r="C117" s="877"/>
      <c r="D117" s="877"/>
      <c r="E117" s="877"/>
    </row>
    <row r="118" spans="3:7" s="302" customFormat="1" hidden="1">
      <c r="C118" s="877"/>
      <c r="D118" s="877"/>
      <c r="E118" s="877"/>
    </row>
    <row r="119" spans="3:7" s="302" customFormat="1" hidden="1">
      <c r="C119" s="877"/>
      <c r="D119" s="877"/>
      <c r="E119" s="877"/>
    </row>
    <row r="120" spans="3:7" s="302" customFormat="1" hidden="1">
      <c r="C120" s="877"/>
      <c r="D120" s="877"/>
      <c r="E120" s="877"/>
    </row>
    <row r="121" spans="3:7" s="302" customFormat="1" hidden="1">
      <c r="C121" s="877"/>
      <c r="D121" s="877"/>
      <c r="E121" s="877"/>
    </row>
    <row r="122" spans="3:7" s="302" customFormat="1" hidden="1">
      <c r="C122" s="877"/>
      <c r="D122" s="877"/>
      <c r="E122" s="877"/>
    </row>
    <row r="123" spans="3:7" s="302" customFormat="1" hidden="1">
      <c r="C123" s="877"/>
      <c r="D123" s="877"/>
      <c r="E123" s="877"/>
    </row>
    <row r="124" spans="3:7" s="302" customFormat="1">
      <c r="C124" s="877"/>
      <c r="D124" s="877"/>
      <c r="E124" s="877"/>
    </row>
    <row r="125" spans="3:7" s="302" customFormat="1">
      <c r="C125" s="877"/>
      <c r="D125" s="877"/>
      <c r="E125" s="877"/>
    </row>
    <row r="126" spans="3:7" s="845" customFormat="1">
      <c r="C126" s="541"/>
      <c r="D126" s="541"/>
      <c r="E126" s="541"/>
      <c r="F126" s="302"/>
      <c r="G126" s="302"/>
    </row>
    <row r="127" spans="3:7">
      <c r="C127" s="541"/>
      <c r="D127" s="541"/>
      <c r="E127" s="541"/>
    </row>
    <row r="129" spans="3:5">
      <c r="C129" s="529"/>
      <c r="D129" s="529"/>
      <c r="E129" s="529"/>
    </row>
  </sheetData>
  <mergeCells count="1">
    <mergeCell ref="B4:E4"/>
  </mergeCells>
  <printOptions horizontalCentered="1"/>
  <pageMargins left="0.39370078740157483" right="0" top="7.874015748031496E-2" bottom="0" header="0" footer="0"/>
  <pageSetup paperSize="9"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 filterMode="1"/>
  <dimension ref="A1:Q346"/>
  <sheetViews>
    <sheetView showZeros="0" view="pageBreakPreview" zoomScale="60" zoomScaleNormal="75" workbookViewId="0">
      <pane xSplit="5" ySplit="12" topLeftCell="F325" activePane="bottomRight" state="frozen"/>
      <selection pane="topRight" activeCell="F1" sqref="F1"/>
      <selection pane="bottomLeft" activeCell="A20" sqref="A20"/>
      <selection pane="bottomRight" activeCell="A311" sqref="A311:IV346"/>
    </sheetView>
  </sheetViews>
  <sheetFormatPr defaultColWidth="8.85546875" defaultRowHeight="12.75"/>
  <cols>
    <col min="1" max="1" width="19.85546875" style="458" customWidth="1"/>
    <col min="2" max="2" width="12.85546875" style="458" customWidth="1"/>
    <col min="3" max="3" width="10.7109375" style="458" customWidth="1"/>
    <col min="4" max="4" width="49.28515625" style="458" customWidth="1"/>
    <col min="5" max="5" width="94.42578125" style="458" customWidth="1"/>
    <col min="6" max="6" width="18.42578125" style="458" customWidth="1"/>
    <col min="7" max="7" width="13.28515625" style="458" customWidth="1"/>
    <col min="8" max="8" width="16.85546875" style="458" customWidth="1"/>
    <col min="9" max="9" width="18.28515625" style="458" customWidth="1"/>
    <col min="10" max="10" width="16.7109375" style="458" hidden="1" customWidth="1"/>
    <col min="11" max="11" width="22.85546875" style="458" hidden="1" customWidth="1"/>
    <col min="12" max="12" width="10.140625" style="458" hidden="1" customWidth="1"/>
    <col min="13" max="13" width="10.85546875" style="458" hidden="1" customWidth="1"/>
    <col min="14" max="14" width="0" style="458" hidden="1" customWidth="1"/>
    <col min="15" max="15" width="21.7109375" style="458" hidden="1" customWidth="1"/>
    <col min="16" max="16" width="10.85546875" style="458" bestFit="1" customWidth="1"/>
    <col min="17" max="17" width="14.7109375" style="458" bestFit="1" customWidth="1"/>
    <col min="18" max="16384" width="8.85546875" style="458"/>
  </cols>
  <sheetData>
    <row r="1" spans="1:11" ht="18.75">
      <c r="A1" s="982"/>
      <c r="B1" s="982"/>
      <c r="C1" s="982"/>
      <c r="D1" s="982"/>
      <c r="E1" s="982"/>
      <c r="F1" s="982"/>
      <c r="G1" s="982"/>
      <c r="H1" s="1178" t="s">
        <v>386</v>
      </c>
      <c r="I1" s="1178"/>
      <c r="K1" s="458">
        <v>1</v>
      </c>
    </row>
    <row r="2" spans="1:11" ht="18.75">
      <c r="A2" s="982"/>
      <c r="B2" s="982"/>
      <c r="C2" s="982"/>
      <c r="D2" s="982"/>
      <c r="E2" s="982"/>
      <c r="F2" s="982"/>
      <c r="G2" s="982"/>
      <c r="H2" s="1178" t="s">
        <v>476</v>
      </c>
      <c r="I2" s="1178"/>
      <c r="K2" s="458">
        <v>1</v>
      </c>
    </row>
    <row r="3" spans="1:11" ht="18.75">
      <c r="A3" s="982"/>
      <c r="B3" s="982"/>
      <c r="C3" s="982"/>
      <c r="D3" s="982"/>
      <c r="E3" s="982"/>
      <c r="F3" s="982"/>
      <c r="G3" s="982"/>
      <c r="H3" s="1178" t="s">
        <v>3247</v>
      </c>
      <c r="I3" s="1178"/>
      <c r="K3" s="458">
        <v>1</v>
      </c>
    </row>
    <row r="4" spans="1:11">
      <c r="A4" s="983"/>
      <c r="B4" s="983"/>
      <c r="C4" s="983"/>
      <c r="D4" s="983"/>
      <c r="E4" s="983"/>
      <c r="F4" s="1179"/>
      <c r="G4" s="1179"/>
      <c r="H4" s="1179"/>
      <c r="I4" s="1179"/>
      <c r="K4" s="984">
        <v>1</v>
      </c>
    </row>
    <row r="5" spans="1:11" ht="18.75">
      <c r="A5" s="1180" t="s">
        <v>3211</v>
      </c>
      <c r="B5" s="1180"/>
      <c r="C5" s="1180"/>
      <c r="D5" s="1180"/>
      <c r="E5" s="1180"/>
      <c r="F5" s="1180"/>
      <c r="G5" s="1180"/>
      <c r="H5" s="1180"/>
      <c r="I5" s="1180"/>
      <c r="K5" s="458">
        <v>1</v>
      </c>
    </row>
    <row r="6" spans="1:11" ht="18.75">
      <c r="A6" s="985"/>
      <c r="B6" s="985"/>
      <c r="C6" s="985"/>
      <c r="D6" s="985"/>
      <c r="E6" s="985"/>
      <c r="F6" s="985"/>
      <c r="G6" s="985"/>
      <c r="H6" s="985"/>
      <c r="I6" s="684" t="s">
        <v>380</v>
      </c>
      <c r="K6" s="458">
        <v>1</v>
      </c>
    </row>
    <row r="7" spans="1:11" ht="13.15" customHeight="1">
      <c r="A7" s="1105" t="s">
        <v>142</v>
      </c>
      <c r="B7" s="1105" t="s">
        <v>305</v>
      </c>
      <c r="C7" s="1105" t="s">
        <v>6</v>
      </c>
      <c r="D7" s="1108" t="s">
        <v>306</v>
      </c>
      <c r="E7" s="1164" t="s">
        <v>3212</v>
      </c>
      <c r="F7" s="1164" t="s">
        <v>147</v>
      </c>
      <c r="G7" s="1164" t="s">
        <v>409</v>
      </c>
      <c r="H7" s="1164" t="s">
        <v>150</v>
      </c>
      <c r="I7" s="1164" t="s">
        <v>410</v>
      </c>
      <c r="K7" s="458">
        <v>1</v>
      </c>
    </row>
    <row r="8" spans="1:11" ht="140.25" customHeight="1">
      <c r="A8" s="1106"/>
      <c r="B8" s="1106"/>
      <c r="C8" s="1106"/>
      <c r="D8" s="1109"/>
      <c r="E8" s="1165"/>
      <c r="F8" s="1165"/>
      <c r="G8" s="1165"/>
      <c r="H8" s="1165"/>
      <c r="I8" s="1165"/>
      <c r="K8" s="458">
        <v>1</v>
      </c>
    </row>
    <row r="9" spans="1:11">
      <c r="A9" s="1106"/>
      <c r="B9" s="1106"/>
      <c r="C9" s="1106"/>
      <c r="D9" s="1109"/>
      <c r="E9" s="1165"/>
      <c r="F9" s="1165"/>
      <c r="G9" s="1165"/>
      <c r="H9" s="1165"/>
      <c r="I9" s="1165">
        <f>I10+I11</f>
        <v>0</v>
      </c>
      <c r="K9" s="458">
        <v>1</v>
      </c>
    </row>
    <row r="10" spans="1:11">
      <c r="A10" s="1106"/>
      <c r="B10" s="1106"/>
      <c r="C10" s="1106"/>
      <c r="D10" s="1109"/>
      <c r="E10" s="1165"/>
      <c r="F10" s="1165"/>
      <c r="G10" s="1165"/>
      <c r="H10" s="1165"/>
      <c r="I10" s="1165"/>
      <c r="K10" s="458">
        <v>1</v>
      </c>
    </row>
    <row r="11" spans="1:11">
      <c r="A11" s="1106"/>
      <c r="B11" s="1106"/>
      <c r="C11" s="1106"/>
      <c r="D11" s="1109"/>
      <c r="E11" s="1165"/>
      <c r="F11" s="1165"/>
      <c r="G11" s="1165"/>
      <c r="H11" s="1165"/>
      <c r="I11" s="1165"/>
      <c r="K11" s="458">
        <v>1</v>
      </c>
    </row>
    <row r="12" spans="1:11">
      <c r="A12" s="1107"/>
      <c r="B12" s="1107"/>
      <c r="C12" s="1107"/>
      <c r="D12" s="1110"/>
      <c r="E12" s="1166"/>
      <c r="F12" s="1166"/>
      <c r="G12" s="1166"/>
      <c r="H12" s="1166"/>
      <c r="I12" s="1166" t="e">
        <f>#REF!</f>
        <v>#REF!</v>
      </c>
      <c r="K12" s="458">
        <v>1</v>
      </c>
    </row>
    <row r="13" spans="1:11" ht="47.25">
      <c r="A13" s="598" t="s">
        <v>334</v>
      </c>
      <c r="B13" s="598"/>
      <c r="C13" s="598"/>
      <c r="D13" s="589" t="s">
        <v>740</v>
      </c>
      <c r="E13" s="598"/>
      <c r="F13" s="590">
        <f t="shared" ref="F13:I14" si="0">F15</f>
        <v>1970000</v>
      </c>
      <c r="G13" s="590">
        <v>44.4</v>
      </c>
      <c r="H13" s="590">
        <f t="shared" si="0"/>
        <v>1093600</v>
      </c>
      <c r="I13" s="590">
        <f t="shared" si="0"/>
        <v>1000</v>
      </c>
      <c r="K13" s="425">
        <f>SUM(F13:I13)</f>
        <v>3064644.4</v>
      </c>
    </row>
    <row r="14" spans="1:11" ht="47.25">
      <c r="A14" s="598" t="s">
        <v>335</v>
      </c>
      <c r="B14" s="598"/>
      <c r="C14" s="598"/>
      <c r="D14" s="589" t="s">
        <v>740</v>
      </c>
      <c r="E14" s="598"/>
      <c r="F14" s="590">
        <f t="shared" si="0"/>
        <v>1970000</v>
      </c>
      <c r="G14" s="590">
        <f>G16</f>
        <v>44.4</v>
      </c>
      <c r="H14" s="590">
        <f t="shared" si="0"/>
        <v>1093600</v>
      </c>
      <c r="I14" s="590">
        <f t="shared" si="0"/>
        <v>1000</v>
      </c>
      <c r="K14" s="425">
        <f t="shared" ref="K14:K77" si="1">SUM(F14:I14)</f>
        <v>3064644.4</v>
      </c>
    </row>
    <row r="15" spans="1:11" ht="31.5">
      <c r="A15" s="577" t="s">
        <v>1021</v>
      </c>
      <c r="B15" s="577">
        <v>7320</v>
      </c>
      <c r="C15" s="577"/>
      <c r="D15" s="578" t="s">
        <v>1016</v>
      </c>
      <c r="E15" s="578"/>
      <c r="F15" s="986">
        <f>F16</f>
        <v>1970000</v>
      </c>
      <c r="G15" s="986">
        <v>44.4</v>
      </c>
      <c r="H15" s="986">
        <f>H16</f>
        <v>1093600</v>
      </c>
      <c r="I15" s="986">
        <f>I16</f>
        <v>1000</v>
      </c>
      <c r="K15" s="425">
        <f t="shared" si="1"/>
        <v>3064644.4</v>
      </c>
    </row>
    <row r="16" spans="1:11" s="1034" customFormat="1" ht="37.5">
      <c r="A16" s="328" t="s">
        <v>967</v>
      </c>
      <c r="B16" s="328" t="s">
        <v>966</v>
      </c>
      <c r="C16" s="328" t="s">
        <v>654</v>
      </c>
      <c r="D16" s="622" t="s">
        <v>1020</v>
      </c>
      <c r="E16" s="1031" t="s">
        <v>1022</v>
      </c>
      <c r="F16" s="1004">
        <v>1970000</v>
      </c>
      <c r="G16" s="1004">
        <v>44.4</v>
      </c>
      <c r="H16" s="1004">
        <v>1093600</v>
      </c>
      <c r="I16" s="1032">
        <v>1000</v>
      </c>
      <c r="J16" s="1033">
        <f>I16</f>
        <v>1000</v>
      </c>
      <c r="K16" s="425">
        <f t="shared" si="1"/>
        <v>3064644.4</v>
      </c>
    </row>
    <row r="17" spans="1:11" s="987" customFormat="1" ht="47.25" hidden="1">
      <c r="A17" s="598" t="s">
        <v>421</v>
      </c>
      <c r="B17" s="598"/>
      <c r="C17" s="598"/>
      <c r="D17" s="589" t="s">
        <v>1818</v>
      </c>
      <c r="E17" s="589"/>
      <c r="F17" s="988">
        <f>F20</f>
        <v>0</v>
      </c>
      <c r="G17" s="988">
        <f>G20</f>
        <v>0</v>
      </c>
      <c r="H17" s="988">
        <f>H20</f>
        <v>0</v>
      </c>
      <c r="I17" s="988">
        <f>I20</f>
        <v>0</v>
      </c>
      <c r="K17" s="425">
        <f t="shared" si="1"/>
        <v>0</v>
      </c>
    </row>
    <row r="18" spans="1:11" s="987" customFormat="1" ht="47.25" hidden="1">
      <c r="A18" s="598" t="s">
        <v>422</v>
      </c>
      <c r="B18" s="598"/>
      <c r="C18" s="598"/>
      <c r="D18" s="589" t="s">
        <v>1818</v>
      </c>
      <c r="E18" s="589"/>
      <c r="F18" s="988">
        <f t="shared" ref="F18:I19" si="2">F19</f>
        <v>0</v>
      </c>
      <c r="G18" s="988">
        <f t="shared" si="2"/>
        <v>0</v>
      </c>
      <c r="H18" s="988">
        <f t="shared" si="2"/>
        <v>0</v>
      </c>
      <c r="I18" s="988">
        <f t="shared" si="2"/>
        <v>0</v>
      </c>
      <c r="K18" s="425">
        <f t="shared" si="1"/>
        <v>0</v>
      </c>
    </row>
    <row r="19" spans="1:11" s="987" customFormat="1" ht="41.25" hidden="1">
      <c r="A19" s="577" t="s">
        <v>2539</v>
      </c>
      <c r="B19" s="577" t="s">
        <v>708</v>
      </c>
      <c r="C19" s="577"/>
      <c r="D19" s="578" t="s">
        <v>3213</v>
      </c>
      <c r="E19" s="578"/>
      <c r="F19" s="605">
        <f t="shared" si="2"/>
        <v>0</v>
      </c>
      <c r="G19" s="605">
        <f t="shared" si="2"/>
        <v>0</v>
      </c>
      <c r="H19" s="605">
        <f t="shared" si="2"/>
        <v>0</v>
      </c>
      <c r="I19" s="605">
        <f t="shared" si="2"/>
        <v>0</v>
      </c>
      <c r="K19" s="425">
        <f t="shared" si="1"/>
        <v>0</v>
      </c>
    </row>
    <row r="20" spans="1:11" s="1034" customFormat="1" ht="41.25" hidden="1">
      <c r="A20" s="417" t="s">
        <v>2540</v>
      </c>
      <c r="B20" s="417" t="s">
        <v>923</v>
      </c>
      <c r="C20" s="417" t="s">
        <v>654</v>
      </c>
      <c r="D20" s="581" t="s">
        <v>3214</v>
      </c>
      <c r="E20" s="581" t="s">
        <v>2643</v>
      </c>
      <c r="F20" s="989"/>
      <c r="G20" s="989"/>
      <c r="H20" s="989"/>
      <c r="I20" s="989">
        <f>SUBTOTAL(9,F20:H20)</f>
        <v>0</v>
      </c>
      <c r="J20" s="1033">
        <f>I20</f>
        <v>0</v>
      </c>
      <c r="K20" s="425">
        <f t="shared" si="1"/>
        <v>0</v>
      </c>
    </row>
    <row r="21" spans="1:11" ht="47.25">
      <c r="A21" s="598" t="s">
        <v>682</v>
      </c>
      <c r="B21" s="598"/>
      <c r="C21" s="598"/>
      <c r="D21" s="589" t="s">
        <v>1709</v>
      </c>
      <c r="E21" s="598"/>
      <c r="F21" s="590">
        <f>F22</f>
        <v>718222238</v>
      </c>
      <c r="G21" s="590"/>
      <c r="H21" s="590">
        <f>H22</f>
        <v>232783321.38</v>
      </c>
      <c r="I21" s="590">
        <f>I22</f>
        <v>272549871.02999997</v>
      </c>
      <c r="K21" s="425">
        <f t="shared" si="1"/>
        <v>1223555430.4099998</v>
      </c>
    </row>
    <row r="22" spans="1:11" ht="47.25">
      <c r="A22" s="598" t="s">
        <v>683</v>
      </c>
      <c r="B22" s="598"/>
      <c r="C22" s="598"/>
      <c r="D22" s="589" t="s">
        <v>1709</v>
      </c>
      <c r="E22" s="598"/>
      <c r="F22" s="590">
        <f>F24+F25+F33+F34+F35+F56+F55+F60+F118+F57+F58+F59+F36+F23+F37+F39</f>
        <v>718222238</v>
      </c>
      <c r="G22" s="590"/>
      <c r="H22" s="590">
        <f>H24+H25+H33+H34+H35+H56+H55+H60+H118+H57+H58+H59+H36+H23+H37+H39</f>
        <v>232783321.38</v>
      </c>
      <c r="I22" s="590">
        <f>I24+I25+I33+I34+I35+I56+I55+I60+I118+I57+I58+I59+I36+I23+I37+I39+I38+I40+I41+I42+I43+I44+I45+I46+I47+I48+I49+I50+I51+I52+I53+I54</f>
        <v>272549871.02999997</v>
      </c>
      <c r="K22" s="425">
        <f t="shared" si="1"/>
        <v>1223555430.4099998</v>
      </c>
    </row>
    <row r="23" spans="1:11" ht="110.25">
      <c r="A23" s="423" t="s">
        <v>2430</v>
      </c>
      <c r="B23" s="423" t="s">
        <v>20</v>
      </c>
      <c r="C23" s="423" t="s">
        <v>15</v>
      </c>
      <c r="D23" s="584" t="s">
        <v>464</v>
      </c>
      <c r="E23" s="990" t="s">
        <v>3215</v>
      </c>
      <c r="F23" s="991">
        <v>1240620</v>
      </c>
      <c r="G23" s="991"/>
      <c r="H23" s="991"/>
      <c r="I23" s="991">
        <v>4000000</v>
      </c>
      <c r="J23" s="992">
        <f>I23</f>
        <v>4000000</v>
      </c>
      <c r="K23" s="425">
        <f t="shared" si="1"/>
        <v>5240620</v>
      </c>
    </row>
    <row r="24" spans="1:11" ht="43.5" customHeight="1">
      <c r="A24" s="993">
        <v>1617310</v>
      </c>
      <c r="B24" s="993">
        <v>7310</v>
      </c>
      <c r="C24" s="994" t="s">
        <v>654</v>
      </c>
      <c r="D24" s="995" t="s">
        <v>985</v>
      </c>
      <c r="E24" s="996" t="s">
        <v>986</v>
      </c>
      <c r="F24" s="991">
        <v>1097157</v>
      </c>
      <c r="G24" s="991">
        <v>64</v>
      </c>
      <c r="H24" s="991">
        <v>705510</v>
      </c>
      <c r="I24" s="991">
        <v>705510</v>
      </c>
      <c r="J24" s="992">
        <f>I24</f>
        <v>705510</v>
      </c>
      <c r="K24" s="425">
        <f t="shared" si="1"/>
        <v>2508241</v>
      </c>
    </row>
    <row r="25" spans="1:11" ht="43.5" customHeight="1">
      <c r="A25" s="997">
        <v>1617320</v>
      </c>
      <c r="B25" s="997">
        <v>7320</v>
      </c>
      <c r="C25" s="998"/>
      <c r="D25" s="999" t="s">
        <v>987</v>
      </c>
      <c r="E25" s="1000"/>
      <c r="F25" s="986">
        <f>SUM(F26:F32)</f>
        <v>2539849</v>
      </c>
      <c r="G25" s="986">
        <f>SUM(G28:G30)</f>
        <v>0</v>
      </c>
      <c r="H25" s="986">
        <f>SUM(H28:H30)</f>
        <v>0</v>
      </c>
      <c r="I25" s="986">
        <f>SUM(I26:I32)</f>
        <v>3262149</v>
      </c>
      <c r="K25" s="425">
        <f t="shared" si="1"/>
        <v>5801998</v>
      </c>
    </row>
    <row r="26" spans="1:11" s="616" customFormat="1" ht="56.25">
      <c r="A26" s="417" t="s">
        <v>704</v>
      </c>
      <c r="B26" s="417" t="s">
        <v>705</v>
      </c>
      <c r="C26" s="417" t="s">
        <v>654</v>
      </c>
      <c r="D26" s="1001" t="s">
        <v>3216</v>
      </c>
      <c r="E26" s="1005" t="s">
        <v>3196</v>
      </c>
      <c r="F26" s="1035">
        <f>4000000-4000000</f>
        <v>0</v>
      </c>
      <c r="G26" s="1046"/>
      <c r="H26" s="1047"/>
      <c r="I26" s="1035">
        <v>150000</v>
      </c>
      <c r="J26" s="1038">
        <f>I26</f>
        <v>150000</v>
      </c>
      <c r="K26" s="425">
        <f t="shared" si="1"/>
        <v>150000</v>
      </c>
    </row>
    <row r="27" spans="1:11" s="616" customFormat="1" ht="41.25">
      <c r="A27" s="1060" t="s">
        <v>3241</v>
      </c>
      <c r="B27" s="1060" t="s">
        <v>966</v>
      </c>
      <c r="C27" s="1060" t="s">
        <v>654</v>
      </c>
      <c r="D27" s="1001" t="s">
        <v>3242</v>
      </c>
      <c r="E27" s="1005" t="s">
        <v>3243</v>
      </c>
      <c r="F27" s="1035"/>
      <c r="G27" s="1046"/>
      <c r="H27" s="1047"/>
      <c r="I27" s="1035">
        <v>572300</v>
      </c>
      <c r="J27" s="1038"/>
      <c r="K27" s="425">
        <f t="shared" si="1"/>
        <v>572300</v>
      </c>
    </row>
    <row r="28" spans="1:11" s="616" customFormat="1" ht="31.5">
      <c r="A28" s="1161">
        <v>1617325</v>
      </c>
      <c r="B28" s="1161">
        <v>7325</v>
      </c>
      <c r="C28" s="1170" t="s">
        <v>654</v>
      </c>
      <c r="D28" s="1167" t="s">
        <v>988</v>
      </c>
      <c r="E28" s="1002" t="s">
        <v>1588</v>
      </c>
      <c r="F28" s="1003">
        <v>178769</v>
      </c>
      <c r="G28" s="1003"/>
      <c r="H28" s="1003"/>
      <c r="I28" s="1003">
        <v>178769</v>
      </c>
      <c r="J28" s="1038">
        <f>SUM(I28:I31)</f>
        <v>2539849</v>
      </c>
      <c r="K28" s="425">
        <f t="shared" si="1"/>
        <v>357538</v>
      </c>
    </row>
    <row r="29" spans="1:11" s="616" customFormat="1" ht="56.25" customHeight="1">
      <c r="A29" s="1162"/>
      <c r="B29" s="1162"/>
      <c r="C29" s="1171"/>
      <c r="D29" s="1168"/>
      <c r="E29" s="1002" t="s">
        <v>2415</v>
      </c>
      <c r="F29" s="1003">
        <v>903155</v>
      </c>
      <c r="G29" s="1003"/>
      <c r="H29" s="1003"/>
      <c r="I29" s="1003">
        <v>903155</v>
      </c>
      <c r="J29" s="1003"/>
      <c r="K29" s="425">
        <f t="shared" si="1"/>
        <v>1806310</v>
      </c>
    </row>
    <row r="30" spans="1:11" s="616" customFormat="1" ht="36" customHeight="1">
      <c r="A30" s="1162"/>
      <c r="B30" s="1162"/>
      <c r="C30" s="1171"/>
      <c r="D30" s="1168"/>
      <c r="E30" s="1002" t="s">
        <v>1589</v>
      </c>
      <c r="F30" s="1003">
        <v>1457925</v>
      </c>
      <c r="G30" s="1003"/>
      <c r="H30" s="1003"/>
      <c r="I30" s="1003">
        <v>1457925</v>
      </c>
      <c r="J30" s="1003"/>
      <c r="K30" s="425">
        <f t="shared" si="1"/>
        <v>2915850</v>
      </c>
    </row>
    <row r="31" spans="1:11" s="616" customFormat="1" ht="36" hidden="1" customHeight="1">
      <c r="A31" s="1162"/>
      <c r="B31" s="1162"/>
      <c r="C31" s="1171"/>
      <c r="D31" s="1168"/>
      <c r="E31" s="1002" t="s">
        <v>2325</v>
      </c>
      <c r="F31" s="1003"/>
      <c r="G31" s="1003"/>
      <c r="H31" s="1003"/>
      <c r="I31" s="1003"/>
      <c r="K31" s="425">
        <f t="shared" si="1"/>
        <v>0</v>
      </c>
    </row>
    <row r="32" spans="1:11" s="616" customFormat="1" ht="31.15" hidden="1" customHeight="1">
      <c r="A32" s="1163"/>
      <c r="B32" s="1163"/>
      <c r="C32" s="1172"/>
      <c r="D32" s="1169"/>
      <c r="E32" s="1002" t="s">
        <v>2326</v>
      </c>
      <c r="F32" s="1035"/>
      <c r="G32" s="1036"/>
      <c r="H32" s="1035"/>
      <c r="I32" s="1035"/>
      <c r="K32" s="425">
        <f t="shared" si="1"/>
        <v>0</v>
      </c>
    </row>
    <row r="33" spans="1:11" s="616" customFormat="1" ht="37.15" customHeight="1">
      <c r="A33" s="1175" t="s">
        <v>1138</v>
      </c>
      <c r="B33" s="1175" t="s">
        <v>1139</v>
      </c>
      <c r="C33" s="1175" t="s">
        <v>654</v>
      </c>
      <c r="D33" s="1161" t="s">
        <v>1622</v>
      </c>
      <c r="E33" s="1037" t="s">
        <v>1590</v>
      </c>
      <c r="F33" s="427">
        <v>385745</v>
      </c>
      <c r="G33" s="427">
        <v>10</v>
      </c>
      <c r="H33" s="427">
        <v>39471</v>
      </c>
      <c r="I33" s="427">
        <v>39471</v>
      </c>
      <c r="J33" s="1038">
        <f>SUM(I33:I54)</f>
        <v>8027588</v>
      </c>
      <c r="K33" s="425">
        <f t="shared" si="1"/>
        <v>464697</v>
      </c>
    </row>
    <row r="34" spans="1:11" s="616" customFormat="1" ht="37.15" customHeight="1">
      <c r="A34" s="1176"/>
      <c r="B34" s="1176"/>
      <c r="C34" s="1176"/>
      <c r="D34" s="1162"/>
      <c r="E34" s="1039" t="s">
        <v>1625</v>
      </c>
      <c r="F34" s="427">
        <v>1002335</v>
      </c>
      <c r="G34" s="427">
        <v>1.5</v>
      </c>
      <c r="H34" s="427">
        <v>15000</v>
      </c>
      <c r="I34" s="427">
        <v>15000</v>
      </c>
      <c r="K34" s="425">
        <f t="shared" si="1"/>
        <v>1032336.5</v>
      </c>
    </row>
    <row r="35" spans="1:11" s="616" customFormat="1" ht="37.15" customHeight="1">
      <c r="A35" s="1176"/>
      <c r="B35" s="1176"/>
      <c r="C35" s="1176"/>
      <c r="D35" s="1162"/>
      <c r="E35" s="1040" t="s">
        <v>1829</v>
      </c>
      <c r="F35" s="427">
        <v>500830</v>
      </c>
      <c r="G35" s="427">
        <v>99.9</v>
      </c>
      <c r="H35" s="427">
        <v>590000</v>
      </c>
      <c r="I35" s="427">
        <v>590000</v>
      </c>
      <c r="K35" s="425">
        <f t="shared" si="1"/>
        <v>1680929.9</v>
      </c>
    </row>
    <row r="36" spans="1:11" s="616" customFormat="1" ht="93.75">
      <c r="A36" s="1176"/>
      <c r="B36" s="1176"/>
      <c r="C36" s="1176"/>
      <c r="D36" s="1162"/>
      <c r="E36" s="1040" t="s">
        <v>2305</v>
      </c>
      <c r="F36" s="427"/>
      <c r="G36" s="427"/>
      <c r="H36" s="427"/>
      <c r="I36" s="427">
        <v>69314</v>
      </c>
      <c r="K36" s="425">
        <f t="shared" si="1"/>
        <v>69314</v>
      </c>
    </row>
    <row r="37" spans="1:11" s="616" customFormat="1" ht="37.5">
      <c r="A37" s="1176"/>
      <c r="B37" s="1176"/>
      <c r="C37" s="1176"/>
      <c r="D37" s="1162"/>
      <c r="E37" s="1040" t="s">
        <v>2513</v>
      </c>
      <c r="F37" s="427">
        <v>2854770</v>
      </c>
      <c r="G37" s="427"/>
      <c r="H37" s="427"/>
      <c r="I37" s="427">
        <v>285477</v>
      </c>
      <c r="K37" s="425">
        <f t="shared" si="1"/>
        <v>3140247</v>
      </c>
    </row>
    <row r="38" spans="1:11" s="616" customFormat="1" ht="37.5">
      <c r="A38" s="1176"/>
      <c r="B38" s="1176"/>
      <c r="C38" s="1176"/>
      <c r="D38" s="1162"/>
      <c r="E38" s="1040" t="s">
        <v>3126</v>
      </c>
      <c r="F38" s="427">
        <v>1450190</v>
      </c>
      <c r="G38" s="1061"/>
      <c r="H38" s="1061"/>
      <c r="I38" s="427">
        <v>145100</v>
      </c>
      <c r="K38" s="425">
        <f t="shared" si="1"/>
        <v>1595290</v>
      </c>
    </row>
    <row r="39" spans="1:11" s="616" customFormat="1" ht="56.25">
      <c r="A39" s="1176"/>
      <c r="B39" s="1176"/>
      <c r="C39" s="1176"/>
      <c r="D39" s="1162"/>
      <c r="E39" s="1040" t="s">
        <v>2514</v>
      </c>
      <c r="F39" s="427"/>
      <c r="G39" s="427"/>
      <c r="H39" s="427"/>
      <c r="I39" s="427">
        <v>50000</v>
      </c>
      <c r="K39" s="425">
        <f t="shared" si="1"/>
        <v>50000</v>
      </c>
    </row>
    <row r="40" spans="1:11" s="616" customFormat="1" ht="56.25">
      <c r="A40" s="1176"/>
      <c r="B40" s="1176"/>
      <c r="C40" s="1176"/>
      <c r="D40" s="1162"/>
      <c r="E40" s="1048" t="s">
        <v>3065</v>
      </c>
      <c r="F40" s="427">
        <v>271592</v>
      </c>
      <c r="G40" s="427"/>
      <c r="H40" s="427"/>
      <c r="I40" s="427">
        <f>184981+81478</f>
        <v>266459</v>
      </c>
      <c r="K40" s="425">
        <f t="shared" si="1"/>
        <v>538051</v>
      </c>
    </row>
    <row r="41" spans="1:11" s="616" customFormat="1" ht="56.25">
      <c r="A41" s="1176"/>
      <c r="B41" s="1176"/>
      <c r="C41" s="1176"/>
      <c r="D41" s="1162"/>
      <c r="E41" s="1048" t="s">
        <v>3066</v>
      </c>
      <c r="F41" s="427">
        <v>247692</v>
      </c>
      <c r="G41" s="427"/>
      <c r="H41" s="427"/>
      <c r="I41" s="427">
        <f>167863+74308</f>
        <v>242171</v>
      </c>
      <c r="K41" s="425">
        <f t="shared" si="1"/>
        <v>489863</v>
      </c>
    </row>
    <row r="42" spans="1:11" s="616" customFormat="1" ht="56.25">
      <c r="A42" s="1176"/>
      <c r="B42" s="1176"/>
      <c r="C42" s="1176"/>
      <c r="D42" s="1162"/>
      <c r="E42" s="1048" t="s">
        <v>3067</v>
      </c>
      <c r="F42" s="427">
        <v>346840</v>
      </c>
      <c r="G42" s="427"/>
      <c r="H42" s="427"/>
      <c r="I42" s="427">
        <f>237544+104052</f>
        <v>341596</v>
      </c>
      <c r="K42" s="425">
        <f t="shared" si="1"/>
        <v>688436</v>
      </c>
    </row>
    <row r="43" spans="1:11" s="616" customFormat="1" ht="37.5">
      <c r="A43" s="1176"/>
      <c r="B43" s="1176"/>
      <c r="C43" s="1176"/>
      <c r="D43" s="1162"/>
      <c r="E43" s="1005" t="s">
        <v>3068</v>
      </c>
      <c r="F43" s="427">
        <v>1255573</v>
      </c>
      <c r="G43" s="427"/>
      <c r="H43" s="427"/>
      <c r="I43" s="427">
        <f>861051+125558</f>
        <v>986609</v>
      </c>
      <c r="K43" s="425">
        <f t="shared" si="1"/>
        <v>2242182</v>
      </c>
    </row>
    <row r="44" spans="1:11" s="616" customFormat="1" ht="37.5">
      <c r="A44" s="1176"/>
      <c r="B44" s="1176"/>
      <c r="C44" s="1176"/>
      <c r="D44" s="1162"/>
      <c r="E44" s="1049" t="s">
        <v>3069</v>
      </c>
      <c r="F44" s="427">
        <v>475958</v>
      </c>
      <c r="G44" s="427"/>
      <c r="H44" s="427"/>
      <c r="I44" s="427">
        <f>335091+124923</f>
        <v>460014</v>
      </c>
      <c r="K44" s="425">
        <f t="shared" si="1"/>
        <v>935972</v>
      </c>
    </row>
    <row r="45" spans="1:11" s="616" customFormat="1" ht="37.5">
      <c r="A45" s="1176"/>
      <c r="B45" s="1176"/>
      <c r="C45" s="1176"/>
      <c r="D45" s="1162"/>
      <c r="E45" s="1049" t="s">
        <v>3070</v>
      </c>
      <c r="F45" s="427">
        <v>673642</v>
      </c>
      <c r="G45" s="427"/>
      <c r="H45" s="427"/>
      <c r="I45" s="427">
        <f>471549+179011</f>
        <v>650560</v>
      </c>
      <c r="K45" s="425">
        <f t="shared" si="1"/>
        <v>1324202</v>
      </c>
    </row>
    <row r="46" spans="1:11" s="616" customFormat="1" ht="37.5">
      <c r="A46" s="1176"/>
      <c r="B46" s="1176"/>
      <c r="C46" s="1176"/>
      <c r="D46" s="1162"/>
      <c r="E46" s="1049" t="s">
        <v>3071</v>
      </c>
      <c r="F46" s="427">
        <v>331594</v>
      </c>
      <c r="G46" s="427"/>
      <c r="H46" s="427"/>
      <c r="I46" s="427">
        <f>232116+88653</f>
        <v>320769</v>
      </c>
      <c r="K46" s="425">
        <f t="shared" si="1"/>
        <v>652363</v>
      </c>
    </row>
    <row r="47" spans="1:11" s="616" customFormat="1" ht="37.5">
      <c r="A47" s="1176"/>
      <c r="B47" s="1176"/>
      <c r="C47" s="1176"/>
      <c r="D47" s="1162"/>
      <c r="E47" s="1050" t="s">
        <v>3072</v>
      </c>
      <c r="F47" s="427">
        <v>953884</v>
      </c>
      <c r="G47" s="427"/>
      <c r="H47" s="427"/>
      <c r="I47" s="427">
        <f>644402+274174</f>
        <v>918576</v>
      </c>
      <c r="K47" s="425">
        <f t="shared" si="1"/>
        <v>1872460</v>
      </c>
    </row>
    <row r="48" spans="1:11" s="616" customFormat="1" ht="56.25">
      <c r="A48" s="1176"/>
      <c r="B48" s="1176"/>
      <c r="C48" s="1176"/>
      <c r="D48" s="1162"/>
      <c r="E48" s="1050" t="s">
        <v>3195</v>
      </c>
      <c r="F48" s="427">
        <v>201420</v>
      </c>
      <c r="G48" s="427"/>
      <c r="H48" s="427"/>
      <c r="I48" s="427">
        <f>137143+60426</f>
        <v>197569</v>
      </c>
      <c r="K48" s="425">
        <f t="shared" si="1"/>
        <v>398989</v>
      </c>
    </row>
    <row r="49" spans="1:17" s="616" customFormat="1" ht="43.15" customHeight="1">
      <c r="A49" s="1176"/>
      <c r="B49" s="1176"/>
      <c r="C49" s="1176"/>
      <c r="D49" s="1162"/>
      <c r="E49" s="1050" t="s">
        <v>3073</v>
      </c>
      <c r="F49" s="427">
        <v>282658</v>
      </c>
      <c r="G49" s="427"/>
      <c r="H49" s="427"/>
      <c r="I49" s="427">
        <f>192439+84797</f>
        <v>277236</v>
      </c>
      <c r="K49" s="425">
        <f t="shared" si="1"/>
        <v>559894</v>
      </c>
    </row>
    <row r="50" spans="1:17" s="616" customFormat="1" ht="37.5">
      <c r="A50" s="1176"/>
      <c r="B50" s="1176"/>
      <c r="C50" s="1176"/>
      <c r="D50" s="1162"/>
      <c r="E50" s="1050" t="s">
        <v>3074</v>
      </c>
      <c r="F50" s="427">
        <v>531235</v>
      </c>
      <c r="G50" s="427"/>
      <c r="H50" s="427"/>
      <c r="I50" s="427">
        <f>363574+145200</f>
        <v>508774</v>
      </c>
      <c r="K50" s="425">
        <f t="shared" si="1"/>
        <v>1040009</v>
      </c>
    </row>
    <row r="51" spans="1:17" s="616" customFormat="1" ht="37.5">
      <c r="A51" s="1176"/>
      <c r="B51" s="1176"/>
      <c r="C51" s="1176"/>
      <c r="D51" s="1162"/>
      <c r="E51" s="1050" t="s">
        <v>3075</v>
      </c>
      <c r="F51" s="427">
        <v>462706</v>
      </c>
      <c r="G51" s="427"/>
      <c r="H51" s="427"/>
      <c r="I51" s="427">
        <f>314759+123150</f>
        <v>437909</v>
      </c>
      <c r="K51" s="425">
        <f t="shared" si="1"/>
        <v>900615</v>
      </c>
    </row>
    <row r="52" spans="1:17" s="616" customFormat="1" ht="37.5">
      <c r="A52" s="1176"/>
      <c r="B52" s="1176"/>
      <c r="C52" s="1176"/>
      <c r="D52" s="1162"/>
      <c r="E52" s="1050" t="s">
        <v>3076</v>
      </c>
      <c r="F52" s="427">
        <v>750430</v>
      </c>
      <c r="G52" s="427"/>
      <c r="H52" s="427"/>
      <c r="I52" s="427">
        <f>499787+214195</f>
        <v>713982</v>
      </c>
      <c r="K52" s="425">
        <f t="shared" si="1"/>
        <v>1464412</v>
      </c>
    </row>
    <row r="53" spans="1:17" s="616" customFormat="1" ht="37.5">
      <c r="A53" s="1176"/>
      <c r="B53" s="1176"/>
      <c r="C53" s="1176"/>
      <c r="D53" s="1162"/>
      <c r="E53" s="1050" t="s">
        <v>3077</v>
      </c>
      <c r="F53" s="427">
        <v>539150</v>
      </c>
      <c r="G53" s="427"/>
      <c r="H53" s="427"/>
      <c r="I53" s="427">
        <f>357701+153301</f>
        <v>511002</v>
      </c>
      <c r="K53" s="425">
        <f t="shared" si="1"/>
        <v>1050152</v>
      </c>
    </row>
    <row r="54" spans="1:17" s="616" customFormat="1" ht="56.25" hidden="1">
      <c r="A54" s="1177"/>
      <c r="B54" s="1177"/>
      <c r="C54" s="1177"/>
      <c r="D54" s="1163"/>
      <c r="E54" s="1005" t="s">
        <v>3078</v>
      </c>
      <c r="F54" s="427"/>
      <c r="G54" s="427"/>
      <c r="H54" s="427"/>
      <c r="I54" s="427">
        <f>180810-180810</f>
        <v>0</v>
      </c>
      <c r="K54" s="425">
        <f t="shared" si="1"/>
        <v>0</v>
      </c>
    </row>
    <row r="55" spans="1:17" s="616" customFormat="1" ht="31.5">
      <c r="A55" s="1161">
        <v>1617340</v>
      </c>
      <c r="B55" s="1161">
        <v>7340</v>
      </c>
      <c r="C55" s="1161" t="s">
        <v>654</v>
      </c>
      <c r="D55" s="1173" t="s">
        <v>657</v>
      </c>
      <c r="E55" s="1051" t="s">
        <v>2642</v>
      </c>
      <c r="F55" s="1003"/>
      <c r="G55" s="1003"/>
      <c r="H55" s="1003"/>
      <c r="I55" s="1003">
        <v>18466.599999999999</v>
      </c>
      <c r="J55" s="1038">
        <f>SUM(I55:I59)</f>
        <v>4550000</v>
      </c>
      <c r="K55" s="425">
        <f t="shared" si="1"/>
        <v>18466.599999999999</v>
      </c>
    </row>
    <row r="56" spans="1:17" s="616" customFormat="1" ht="63">
      <c r="A56" s="1162"/>
      <c r="B56" s="1162"/>
      <c r="C56" s="1162"/>
      <c r="D56" s="1174"/>
      <c r="E56" s="1052" t="s">
        <v>3201</v>
      </c>
      <c r="F56" s="1003">
        <v>2369739</v>
      </c>
      <c r="G56" s="1003"/>
      <c r="H56" s="1003"/>
      <c r="I56" s="1003">
        <v>981533.4</v>
      </c>
      <c r="J56" s="1038"/>
      <c r="K56" s="425">
        <f t="shared" si="1"/>
        <v>3351272.4</v>
      </c>
    </row>
    <row r="57" spans="1:17" s="616" customFormat="1" ht="31.5">
      <c r="A57" s="1162"/>
      <c r="B57" s="1162"/>
      <c r="C57" s="1162"/>
      <c r="D57" s="1053"/>
      <c r="E57" s="1051" t="s">
        <v>2304</v>
      </c>
      <c r="F57" s="1003"/>
      <c r="G57" s="1003"/>
      <c r="H57" s="1003"/>
      <c r="I57" s="1003">
        <v>1150000</v>
      </c>
      <c r="K57" s="425">
        <f t="shared" si="1"/>
        <v>1150000</v>
      </c>
    </row>
    <row r="58" spans="1:17" s="616" customFormat="1" ht="47.25">
      <c r="A58" s="1162"/>
      <c r="B58" s="1162"/>
      <c r="C58" s="1162"/>
      <c r="D58" s="1053"/>
      <c r="E58" s="1051" t="s">
        <v>1615</v>
      </c>
      <c r="F58" s="1054"/>
      <c r="G58" s="1054"/>
      <c r="H58" s="1054"/>
      <c r="I58" s="1003">
        <v>1400000</v>
      </c>
      <c r="K58" s="425">
        <f t="shared" si="1"/>
        <v>1400000</v>
      </c>
    </row>
    <row r="59" spans="1:17" s="616" customFormat="1" ht="31.5">
      <c r="A59" s="1163"/>
      <c r="B59" s="1163"/>
      <c r="C59" s="1163"/>
      <c r="D59" s="1053"/>
      <c r="E59" s="1051" t="s">
        <v>3137</v>
      </c>
      <c r="F59" s="1054"/>
      <c r="G59" s="1054"/>
      <c r="H59" s="1054"/>
      <c r="I59" s="1003">
        <v>1000000</v>
      </c>
      <c r="K59" s="425">
        <f t="shared" si="1"/>
        <v>1000000</v>
      </c>
    </row>
    <row r="60" spans="1:17" s="987" customFormat="1" ht="15.75">
      <c r="A60" s="577" t="s">
        <v>1030</v>
      </c>
      <c r="B60" s="577" t="s">
        <v>1031</v>
      </c>
      <c r="C60" s="577"/>
      <c r="D60" s="578" t="s">
        <v>1032</v>
      </c>
      <c r="E60" s="578"/>
      <c r="F60" s="605">
        <f>SUM(F61:F117)</f>
        <v>687708458</v>
      </c>
      <c r="G60" s="605"/>
      <c r="H60" s="605">
        <f>SUM(H61:H117)</f>
        <v>226087184.69999999</v>
      </c>
      <c r="I60" s="605">
        <f>SUM(I61:I117)</f>
        <v>239196287.03</v>
      </c>
      <c r="K60" s="425">
        <f t="shared" si="1"/>
        <v>1152991929.73</v>
      </c>
    </row>
    <row r="61" spans="1:17" s="616" customFormat="1" ht="36" customHeight="1">
      <c r="A61" s="1185" t="s">
        <v>1033</v>
      </c>
      <c r="B61" s="1185" t="s">
        <v>1034</v>
      </c>
      <c r="C61" s="1185" t="s">
        <v>358</v>
      </c>
      <c r="D61" s="1185" t="s">
        <v>1035</v>
      </c>
      <c r="E61" s="1005" t="s">
        <v>234</v>
      </c>
      <c r="F61" s="427">
        <v>152147937</v>
      </c>
      <c r="G61" s="427">
        <v>25.4</v>
      </c>
      <c r="H61" s="427">
        <v>38695627</v>
      </c>
      <c r="I61" s="427">
        <f>10000000+5000000+11650000+13645641+8000000</f>
        <v>48295641</v>
      </c>
      <c r="J61" s="1042">
        <f>SUM(I61:I95)</f>
        <v>123950321.03</v>
      </c>
      <c r="K61" s="425">
        <f t="shared" si="1"/>
        <v>239139230.40000001</v>
      </c>
    </row>
    <row r="62" spans="1:17" s="616" customFormat="1" ht="56.25">
      <c r="A62" s="1186"/>
      <c r="B62" s="1186"/>
      <c r="C62" s="1186"/>
      <c r="D62" s="1186"/>
      <c r="E62" s="1005" t="s">
        <v>3202</v>
      </c>
      <c r="F62" s="427">
        <v>40362353</v>
      </c>
      <c r="G62" s="427">
        <v>33.4</v>
      </c>
      <c r="H62" s="427">
        <v>13477597</v>
      </c>
      <c r="I62" s="427">
        <v>18672188</v>
      </c>
      <c r="K62" s="425">
        <f t="shared" si="1"/>
        <v>72512171.400000006</v>
      </c>
    </row>
    <row r="63" spans="1:17" s="616" customFormat="1" ht="75">
      <c r="A63" s="1186"/>
      <c r="B63" s="1186"/>
      <c r="C63" s="1186"/>
      <c r="D63" s="1186"/>
      <c r="E63" s="1005" t="s">
        <v>235</v>
      </c>
      <c r="F63" s="427">
        <v>54586121</v>
      </c>
      <c r="G63" s="427">
        <v>88</v>
      </c>
      <c r="H63" s="427">
        <v>48052819</v>
      </c>
      <c r="I63" s="427">
        <f>22000000-8000000</f>
        <v>14000000</v>
      </c>
      <c r="K63" s="425">
        <f t="shared" si="1"/>
        <v>116639028</v>
      </c>
      <c r="O63" s="1038">
        <f>SUM(I61:I93)</f>
        <v>122446388.03</v>
      </c>
      <c r="P63" s="616">
        <v>58400000</v>
      </c>
      <c r="Q63" s="1038">
        <f>O63-P63</f>
        <v>64046388.030000001</v>
      </c>
    </row>
    <row r="64" spans="1:17" s="616" customFormat="1" ht="37.5">
      <c r="A64" s="1186"/>
      <c r="B64" s="1186"/>
      <c r="C64" s="1186"/>
      <c r="D64" s="1186"/>
      <c r="E64" s="1005" t="s">
        <v>3111</v>
      </c>
      <c r="F64" s="427">
        <v>10578120</v>
      </c>
      <c r="G64" s="427">
        <v>70.900000000000006</v>
      </c>
      <c r="H64" s="427">
        <v>7500000</v>
      </c>
      <c r="I64" s="427">
        <v>6500000</v>
      </c>
      <c r="K64" s="425">
        <f t="shared" si="1"/>
        <v>24578190.899999999</v>
      </c>
    </row>
    <row r="65" spans="1:11" s="616" customFormat="1" ht="37.5">
      <c r="A65" s="1186"/>
      <c r="B65" s="1186"/>
      <c r="C65" s="1186"/>
      <c r="D65" s="1186"/>
      <c r="E65" s="1005" t="s">
        <v>3178</v>
      </c>
      <c r="F65" s="1041"/>
      <c r="G65" s="1055"/>
      <c r="H65" s="1041"/>
      <c r="I65" s="1062">
        <v>1000000</v>
      </c>
      <c r="K65" s="425">
        <f t="shared" si="1"/>
        <v>1000000</v>
      </c>
    </row>
    <row r="66" spans="1:11" s="616" customFormat="1" ht="37.5" hidden="1">
      <c r="A66" s="1186"/>
      <c r="B66" s="1186"/>
      <c r="C66" s="1186"/>
      <c r="D66" s="1186"/>
      <c r="E66" s="1005" t="s">
        <v>1753</v>
      </c>
      <c r="F66" s="1007"/>
      <c r="G66" s="1008"/>
      <c r="H66" s="1007"/>
      <c r="I66" s="1007"/>
      <c r="K66" s="425">
        <f t="shared" si="1"/>
        <v>0</v>
      </c>
    </row>
    <row r="67" spans="1:11" s="616" customFormat="1" ht="37.5">
      <c r="A67" s="1186"/>
      <c r="B67" s="1186"/>
      <c r="C67" s="1186"/>
      <c r="D67" s="1186"/>
      <c r="E67" s="1043" t="s">
        <v>1591</v>
      </c>
      <c r="F67" s="427"/>
      <c r="G67" s="427"/>
      <c r="H67" s="427"/>
      <c r="I67" s="427">
        <v>250000</v>
      </c>
      <c r="K67" s="425">
        <f t="shared" si="1"/>
        <v>250000</v>
      </c>
    </row>
    <row r="68" spans="1:11" s="616" customFormat="1" ht="37.5">
      <c r="A68" s="1186"/>
      <c r="B68" s="1186"/>
      <c r="C68" s="1186"/>
      <c r="D68" s="1186"/>
      <c r="E68" s="1005" t="s">
        <v>1592</v>
      </c>
      <c r="F68" s="427">
        <v>34555325</v>
      </c>
      <c r="G68" s="427">
        <v>44.3</v>
      </c>
      <c r="H68" s="427">
        <v>15295325</v>
      </c>
      <c r="I68" s="427">
        <f>3060000-79872</f>
        <v>2980128</v>
      </c>
      <c r="K68" s="425">
        <f t="shared" si="1"/>
        <v>52830822.299999997</v>
      </c>
    </row>
    <row r="69" spans="1:11" s="616" customFormat="1" ht="18.75">
      <c r="A69" s="1186"/>
      <c r="B69" s="1186"/>
      <c r="C69" s="1186"/>
      <c r="D69" s="1186"/>
      <c r="E69" s="1005" t="s">
        <v>1593</v>
      </c>
      <c r="F69" s="427">
        <v>11575252</v>
      </c>
      <c r="G69" s="427">
        <v>63</v>
      </c>
      <c r="H69" s="427">
        <v>7321995</v>
      </c>
      <c r="I69" s="427">
        <v>2047000</v>
      </c>
      <c r="K69" s="425">
        <f t="shared" si="1"/>
        <v>20944310</v>
      </c>
    </row>
    <row r="70" spans="1:11" s="616" customFormat="1" ht="37.5">
      <c r="A70" s="1186"/>
      <c r="B70" s="1186"/>
      <c r="C70" s="1186"/>
      <c r="D70" s="1186"/>
      <c r="E70" s="1005" t="s">
        <v>1594</v>
      </c>
      <c r="F70" s="427">
        <v>3643996</v>
      </c>
      <c r="G70" s="427">
        <v>22</v>
      </c>
      <c r="H70" s="427">
        <v>810845</v>
      </c>
      <c r="I70" s="427">
        <f>2289473-789473</f>
        <v>1500000</v>
      </c>
      <c r="K70" s="425">
        <f t="shared" si="1"/>
        <v>5954863</v>
      </c>
    </row>
    <row r="71" spans="1:11" s="616" customFormat="1" ht="37.5">
      <c r="A71" s="1186"/>
      <c r="B71" s="1186"/>
      <c r="C71" s="1186"/>
      <c r="D71" s="1186"/>
      <c r="E71" s="1005" t="s">
        <v>1595</v>
      </c>
      <c r="F71" s="427">
        <v>6854514</v>
      </c>
      <c r="G71" s="427">
        <v>17</v>
      </c>
      <c r="H71" s="427">
        <v>1188043</v>
      </c>
      <c r="I71" s="427">
        <f>790354+10000</f>
        <v>800354</v>
      </c>
      <c r="K71" s="425">
        <f t="shared" si="1"/>
        <v>8842928</v>
      </c>
    </row>
    <row r="72" spans="1:11" s="616" customFormat="1" ht="56.25">
      <c r="A72" s="1186"/>
      <c r="B72" s="1186"/>
      <c r="C72" s="1186"/>
      <c r="D72" s="1186"/>
      <c r="E72" s="1005" t="s">
        <v>1613</v>
      </c>
      <c r="F72" s="427">
        <v>5039472</v>
      </c>
      <c r="G72" s="427">
        <v>80</v>
      </c>
      <c r="H72" s="427">
        <v>4055934.7</v>
      </c>
      <c r="I72" s="427">
        <v>1805558</v>
      </c>
      <c r="K72" s="425">
        <f t="shared" si="1"/>
        <v>10901044.699999999</v>
      </c>
    </row>
    <row r="73" spans="1:11" s="616" customFormat="1" ht="37.5">
      <c r="A73" s="1186"/>
      <c r="B73" s="1186"/>
      <c r="C73" s="1186"/>
      <c r="D73" s="1186"/>
      <c r="E73" s="1005" t="s">
        <v>1596</v>
      </c>
      <c r="F73" s="427">
        <v>12100409</v>
      </c>
      <c r="G73" s="427">
        <v>60</v>
      </c>
      <c r="H73" s="427">
        <v>7292943</v>
      </c>
      <c r="I73" s="427">
        <f>2000000-1000000+1000000</f>
        <v>2000000</v>
      </c>
      <c r="K73" s="425">
        <f t="shared" si="1"/>
        <v>21393412</v>
      </c>
    </row>
    <row r="74" spans="1:11" s="616" customFormat="1" ht="18" hidden="1" customHeight="1">
      <c r="A74" s="1186"/>
      <c r="B74" s="1186"/>
      <c r="C74" s="1186"/>
      <c r="D74" s="1186"/>
      <c r="E74" s="1005"/>
      <c r="F74" s="1007"/>
      <c r="G74" s="1008"/>
      <c r="H74" s="1007"/>
      <c r="I74" s="1007">
        <f>1850329-1850329</f>
        <v>0</v>
      </c>
      <c r="K74" s="425">
        <f t="shared" si="1"/>
        <v>0</v>
      </c>
    </row>
    <row r="75" spans="1:11" s="616" customFormat="1" ht="36" customHeight="1">
      <c r="A75" s="1186"/>
      <c r="B75" s="1186"/>
      <c r="C75" s="1186"/>
      <c r="D75" s="1186"/>
      <c r="E75" s="1005" t="s">
        <v>2515</v>
      </c>
      <c r="F75" s="427">
        <v>10253566</v>
      </c>
      <c r="G75" s="427">
        <v>63</v>
      </c>
      <c r="H75" s="427">
        <v>6432476</v>
      </c>
      <c r="I75" s="427">
        <f>800000+200000</f>
        <v>1000000</v>
      </c>
      <c r="K75" s="425">
        <f t="shared" si="1"/>
        <v>17686105</v>
      </c>
    </row>
    <row r="76" spans="1:11" s="616" customFormat="1" ht="56.25">
      <c r="A76" s="1186"/>
      <c r="B76" s="1186"/>
      <c r="C76" s="1186"/>
      <c r="D76" s="1186"/>
      <c r="E76" s="1005" t="s">
        <v>1597</v>
      </c>
      <c r="F76" s="427">
        <v>6418163</v>
      </c>
      <c r="G76" s="427">
        <v>80</v>
      </c>
      <c r="H76" s="427">
        <v>3729846</v>
      </c>
      <c r="I76" s="427">
        <v>500000</v>
      </c>
      <c r="K76" s="425">
        <f t="shared" si="1"/>
        <v>10648089</v>
      </c>
    </row>
    <row r="77" spans="1:11" s="616" customFormat="1" ht="112.5">
      <c r="A77" s="1186"/>
      <c r="B77" s="1186"/>
      <c r="C77" s="1186"/>
      <c r="D77" s="1186"/>
      <c r="E77" s="1005" t="s">
        <v>3203</v>
      </c>
      <c r="F77" s="427">
        <v>8030077</v>
      </c>
      <c r="G77" s="427">
        <v>68</v>
      </c>
      <c r="H77" s="427">
        <v>5447800</v>
      </c>
      <c r="I77" s="427">
        <v>2400000</v>
      </c>
      <c r="K77" s="425">
        <f t="shared" si="1"/>
        <v>15877945</v>
      </c>
    </row>
    <row r="78" spans="1:11" s="616" customFormat="1" ht="75">
      <c r="A78" s="1186"/>
      <c r="B78" s="1186"/>
      <c r="C78" s="1186"/>
      <c r="D78" s="1186"/>
      <c r="E78" s="1005" t="s">
        <v>3112</v>
      </c>
      <c r="F78" s="427">
        <v>34639234</v>
      </c>
      <c r="G78" s="427">
        <v>27.6</v>
      </c>
      <c r="H78" s="427">
        <v>9554689</v>
      </c>
      <c r="I78" s="427">
        <f>500000+500000</f>
        <v>1000000</v>
      </c>
      <c r="K78" s="425">
        <f t="shared" ref="K78:K141" si="3">SUM(F78:I78)</f>
        <v>45193950.600000001</v>
      </c>
    </row>
    <row r="79" spans="1:11" s="616" customFormat="1" ht="56.25">
      <c r="A79" s="1186"/>
      <c r="B79" s="1186"/>
      <c r="C79" s="1186"/>
      <c r="D79" s="1186"/>
      <c r="E79" s="1005" t="s">
        <v>1944</v>
      </c>
      <c r="F79" s="427">
        <v>16108086</v>
      </c>
      <c r="G79" s="427">
        <v>21.6</v>
      </c>
      <c r="H79" s="427">
        <v>3480000</v>
      </c>
      <c r="I79" s="427">
        <v>3480000</v>
      </c>
      <c r="K79" s="425">
        <f t="shared" si="3"/>
        <v>23068107.600000001</v>
      </c>
    </row>
    <row r="80" spans="1:11" s="616" customFormat="1" ht="56.25">
      <c r="A80" s="1186"/>
      <c r="B80" s="1186"/>
      <c r="C80" s="1186"/>
      <c r="D80" s="1186"/>
      <c r="E80" s="1006" t="s">
        <v>3204</v>
      </c>
      <c r="F80" s="427">
        <v>5933372</v>
      </c>
      <c r="G80" s="427">
        <v>42.9</v>
      </c>
      <c r="H80" s="427">
        <v>2546002</v>
      </c>
      <c r="I80" s="427">
        <v>192541</v>
      </c>
      <c r="K80" s="425">
        <f t="shared" si="3"/>
        <v>8671957.9000000004</v>
      </c>
    </row>
    <row r="81" spans="1:11" s="616" customFormat="1" ht="37.5">
      <c r="A81" s="1186"/>
      <c r="B81" s="1186"/>
      <c r="C81" s="1186"/>
      <c r="D81" s="1186"/>
      <c r="E81" s="1005" t="s">
        <v>3217</v>
      </c>
      <c r="F81" s="427">
        <v>15000571</v>
      </c>
      <c r="G81" s="427">
        <v>67</v>
      </c>
      <c r="H81" s="427">
        <v>10045823</v>
      </c>
      <c r="I81" s="427">
        <v>800000</v>
      </c>
      <c r="K81" s="425">
        <f t="shared" si="3"/>
        <v>25846461</v>
      </c>
    </row>
    <row r="82" spans="1:11" s="616" customFormat="1" ht="56.25">
      <c r="A82" s="1186"/>
      <c r="B82" s="1186"/>
      <c r="C82" s="1186"/>
      <c r="D82" s="1186"/>
      <c r="E82" s="1005" t="s">
        <v>1714</v>
      </c>
      <c r="F82" s="427"/>
      <c r="G82" s="427"/>
      <c r="H82" s="427"/>
      <c r="I82" s="427">
        <f>2689969+2044300-1200000</f>
        <v>3534269</v>
      </c>
      <c r="K82" s="425">
        <f t="shared" si="3"/>
        <v>3534269</v>
      </c>
    </row>
    <row r="83" spans="1:11" s="616" customFormat="1" ht="37.5">
      <c r="A83" s="1186"/>
      <c r="B83" s="1186"/>
      <c r="C83" s="1186"/>
      <c r="D83" s="1186"/>
      <c r="E83" s="1005" t="s">
        <v>1754</v>
      </c>
      <c r="F83" s="427">
        <v>6968167</v>
      </c>
      <c r="G83" s="427">
        <v>30.9</v>
      </c>
      <c r="H83" s="427">
        <v>2151019</v>
      </c>
      <c r="I83" s="427">
        <v>1476249.03</v>
      </c>
      <c r="K83" s="425">
        <f t="shared" si="3"/>
        <v>10595465.93</v>
      </c>
    </row>
    <row r="84" spans="1:11" s="616" customFormat="1" ht="75">
      <c r="A84" s="1186"/>
      <c r="B84" s="1186"/>
      <c r="C84" s="1186"/>
      <c r="D84" s="1186"/>
      <c r="E84" s="1005" t="s">
        <v>1755</v>
      </c>
      <c r="F84" s="427">
        <v>6227316</v>
      </c>
      <c r="G84" s="427"/>
      <c r="H84" s="427"/>
      <c r="I84" s="427">
        <v>1861331</v>
      </c>
      <c r="K84" s="425">
        <f t="shared" si="3"/>
        <v>8088647</v>
      </c>
    </row>
    <row r="85" spans="1:11" s="616" customFormat="1" ht="43.5" customHeight="1">
      <c r="A85" s="1186"/>
      <c r="B85" s="1186"/>
      <c r="C85" s="1186"/>
      <c r="D85" s="1186"/>
      <c r="E85" s="1006" t="s">
        <v>1849</v>
      </c>
      <c r="F85" s="427">
        <v>5933372</v>
      </c>
      <c r="G85" s="427">
        <v>34.700000000000003</v>
      </c>
      <c r="H85" s="427">
        <v>2061208</v>
      </c>
      <c r="I85" s="427">
        <f>100000+100000</f>
        <v>200000</v>
      </c>
      <c r="K85" s="425">
        <f t="shared" si="3"/>
        <v>8194614.7000000002</v>
      </c>
    </row>
    <row r="86" spans="1:11" s="616" customFormat="1" ht="80.25" customHeight="1">
      <c r="A86" s="1186"/>
      <c r="B86" s="1186"/>
      <c r="C86" s="1186"/>
      <c r="D86" s="1186"/>
      <c r="E86" s="1005" t="s">
        <v>1850</v>
      </c>
      <c r="F86" s="427">
        <v>6069443</v>
      </c>
      <c r="G86" s="427">
        <v>30</v>
      </c>
      <c r="H86" s="427">
        <v>1820833</v>
      </c>
      <c r="I86" s="427">
        <v>1820833</v>
      </c>
      <c r="K86" s="425">
        <f t="shared" si="3"/>
        <v>9711139</v>
      </c>
    </row>
    <row r="87" spans="1:11" s="616" customFormat="1" ht="37.5">
      <c r="A87" s="1186"/>
      <c r="B87" s="1186"/>
      <c r="C87" s="1186"/>
      <c r="D87" s="1186"/>
      <c r="E87" s="1005" t="s">
        <v>1851</v>
      </c>
      <c r="F87" s="427">
        <v>8610891</v>
      </c>
      <c r="G87" s="427">
        <v>58.7</v>
      </c>
      <c r="H87" s="427">
        <v>3657904</v>
      </c>
      <c r="I87" s="427">
        <f>600000+186409+150000</f>
        <v>936409</v>
      </c>
      <c r="K87" s="425">
        <f t="shared" si="3"/>
        <v>13205262.699999999</v>
      </c>
    </row>
    <row r="88" spans="1:11" s="616" customFormat="1" ht="56.25">
      <c r="A88" s="1186"/>
      <c r="B88" s="1186"/>
      <c r="C88" s="1186"/>
      <c r="D88" s="1186"/>
      <c r="E88" s="1005" t="s">
        <v>3205</v>
      </c>
      <c r="F88" s="427"/>
      <c r="G88" s="427"/>
      <c r="H88" s="427"/>
      <c r="I88" s="427">
        <f>50000+50000</f>
        <v>100000</v>
      </c>
      <c r="K88" s="425">
        <f t="shared" si="3"/>
        <v>100000</v>
      </c>
    </row>
    <row r="89" spans="1:11" s="616" customFormat="1" ht="56.25">
      <c r="A89" s="1186"/>
      <c r="B89" s="1186"/>
      <c r="C89" s="1186"/>
      <c r="D89" s="1186"/>
      <c r="E89" s="1005" t="s">
        <v>1945</v>
      </c>
      <c r="F89" s="427">
        <v>15558910</v>
      </c>
      <c r="G89" s="427">
        <v>10.199999999999999</v>
      </c>
      <c r="H89" s="427">
        <v>1591891</v>
      </c>
      <c r="I89" s="427">
        <f>531000+1060891</f>
        <v>1591891</v>
      </c>
      <c r="K89" s="425">
        <f t="shared" si="3"/>
        <v>18742702.199999999</v>
      </c>
    </row>
    <row r="90" spans="1:11" s="616" customFormat="1" ht="37.5">
      <c r="A90" s="1186"/>
      <c r="B90" s="1186"/>
      <c r="C90" s="1186"/>
      <c r="D90" s="1186"/>
      <c r="E90" s="1005" t="s">
        <v>3206</v>
      </c>
      <c r="F90" s="427">
        <v>5239588</v>
      </c>
      <c r="G90" s="427">
        <v>19.600000000000001</v>
      </c>
      <c r="H90" s="427">
        <v>993286</v>
      </c>
      <c r="I90" s="427">
        <v>920000</v>
      </c>
      <c r="K90" s="425">
        <f t="shared" si="3"/>
        <v>7152893.5999999996</v>
      </c>
    </row>
    <row r="91" spans="1:11" s="616" customFormat="1" ht="31.5">
      <c r="A91" s="1186"/>
      <c r="B91" s="1186"/>
      <c r="C91" s="1186"/>
      <c r="D91" s="1186"/>
      <c r="E91" s="1002" t="s">
        <v>1946</v>
      </c>
      <c r="F91" s="427"/>
      <c r="G91" s="427"/>
      <c r="H91" s="427"/>
      <c r="I91" s="427">
        <v>171996</v>
      </c>
      <c r="K91" s="425">
        <f t="shared" si="3"/>
        <v>171996</v>
      </c>
    </row>
    <row r="92" spans="1:11" s="616" customFormat="1" ht="31.5">
      <c r="A92" s="1186"/>
      <c r="B92" s="1186"/>
      <c r="C92" s="1186"/>
      <c r="D92" s="1186"/>
      <c r="E92" s="1052" t="s">
        <v>3218</v>
      </c>
      <c r="F92" s="427">
        <v>4561725</v>
      </c>
      <c r="G92" s="427">
        <v>92.6</v>
      </c>
      <c r="H92" s="427">
        <v>4224426</v>
      </c>
      <c r="I92" s="427">
        <v>610000</v>
      </c>
      <c r="K92" s="425">
        <f t="shared" si="3"/>
        <v>9396243.5999999996</v>
      </c>
    </row>
    <row r="93" spans="1:11" s="616" customFormat="1" ht="18" hidden="1" customHeight="1">
      <c r="A93" s="1186"/>
      <c r="B93" s="1186"/>
      <c r="C93" s="1186"/>
      <c r="D93" s="1186"/>
      <c r="E93" s="1052"/>
      <c r="F93" s="1007"/>
      <c r="G93" s="1008"/>
      <c r="H93" s="1007"/>
      <c r="I93" s="1007"/>
      <c r="K93" s="425">
        <f t="shared" si="3"/>
        <v>0</v>
      </c>
    </row>
    <row r="94" spans="1:11" s="616" customFormat="1" ht="56.25">
      <c r="A94" s="1186"/>
      <c r="B94" s="1186"/>
      <c r="C94" s="1186"/>
      <c r="D94" s="1186"/>
      <c r="E94" s="1005" t="s">
        <v>3207</v>
      </c>
      <c r="F94" s="427">
        <v>8730334</v>
      </c>
      <c r="G94" s="427"/>
      <c r="H94" s="427"/>
      <c r="I94" s="427">
        <v>1491933</v>
      </c>
      <c r="K94" s="425">
        <f t="shared" si="3"/>
        <v>10222267</v>
      </c>
    </row>
    <row r="95" spans="1:11" s="616" customFormat="1" ht="37.5">
      <c r="A95" s="1186"/>
      <c r="B95" s="1186"/>
      <c r="C95" s="1186"/>
      <c r="D95" s="1186"/>
      <c r="E95" s="1005" t="s">
        <v>3079</v>
      </c>
      <c r="F95" s="427">
        <v>33582144</v>
      </c>
      <c r="G95" s="427">
        <v>73.400000000000006</v>
      </c>
      <c r="H95" s="427">
        <v>24658853</v>
      </c>
      <c r="I95" s="427">
        <v>12000</v>
      </c>
      <c r="K95" s="425">
        <f t="shared" si="3"/>
        <v>58253070.399999999</v>
      </c>
    </row>
    <row r="96" spans="1:11" s="1045" customFormat="1" ht="37.5">
      <c r="A96" s="1185">
        <v>1617367</v>
      </c>
      <c r="B96" s="1185" t="s">
        <v>1141</v>
      </c>
      <c r="C96" s="1185" t="s">
        <v>358</v>
      </c>
      <c r="D96" s="1187" t="s">
        <v>1598</v>
      </c>
      <c r="E96" s="1056" t="s">
        <v>3219</v>
      </c>
      <c r="F96" s="1057">
        <v>7200000</v>
      </c>
      <c r="G96" s="1057"/>
      <c r="H96" s="1057"/>
      <c r="I96" s="1058">
        <f>6000000+720000</f>
        <v>6720000</v>
      </c>
      <c r="J96" s="1044">
        <f>SUM(I96:I117)</f>
        <v>115245966</v>
      </c>
      <c r="K96" s="425">
        <f t="shared" si="3"/>
        <v>13920000</v>
      </c>
    </row>
    <row r="97" spans="1:11" s="1045" customFormat="1" ht="37.5">
      <c r="A97" s="1186"/>
      <c r="B97" s="1186"/>
      <c r="C97" s="1186"/>
      <c r="D97" s="1188"/>
      <c r="E97" s="1056" t="s">
        <v>3220</v>
      </c>
      <c r="F97" s="1057">
        <v>7200000</v>
      </c>
      <c r="G97" s="1057"/>
      <c r="H97" s="1057"/>
      <c r="I97" s="1058">
        <f>3180000+450000+251586</f>
        <v>3881586</v>
      </c>
      <c r="K97" s="425">
        <f t="shared" si="3"/>
        <v>11081586</v>
      </c>
    </row>
    <row r="98" spans="1:11" s="1045" customFormat="1" ht="37.5">
      <c r="A98" s="1186"/>
      <c r="B98" s="1186"/>
      <c r="C98" s="1186"/>
      <c r="D98" s="1188"/>
      <c r="E98" s="1056" t="s">
        <v>3221</v>
      </c>
      <c r="F98" s="1057">
        <v>7200000</v>
      </c>
      <c r="G98" s="1057"/>
      <c r="H98" s="1057"/>
      <c r="I98" s="1058">
        <f>6000000+694500</f>
        <v>6694500</v>
      </c>
      <c r="K98" s="425">
        <f t="shared" si="3"/>
        <v>13894500</v>
      </c>
    </row>
    <row r="99" spans="1:11" s="1045" customFormat="1" ht="37.5">
      <c r="A99" s="1186"/>
      <c r="B99" s="1186"/>
      <c r="C99" s="1186"/>
      <c r="D99" s="1188"/>
      <c r="E99" s="1056" t="s">
        <v>3222</v>
      </c>
      <c r="F99" s="1057">
        <v>7200000</v>
      </c>
      <c r="G99" s="1057"/>
      <c r="H99" s="1057"/>
      <c r="I99" s="1058">
        <v>3180000</v>
      </c>
      <c r="K99" s="425">
        <f t="shared" si="3"/>
        <v>10380000</v>
      </c>
    </row>
    <row r="100" spans="1:11" s="1045" customFormat="1" ht="37.5">
      <c r="A100" s="1186"/>
      <c r="B100" s="1186"/>
      <c r="C100" s="1186"/>
      <c r="D100" s="1188"/>
      <c r="E100" s="1056" t="s">
        <v>3223</v>
      </c>
      <c r="F100" s="1057">
        <v>7200000</v>
      </c>
      <c r="G100" s="1057"/>
      <c r="H100" s="1057"/>
      <c r="I100" s="1058">
        <v>6000000</v>
      </c>
      <c r="K100" s="425">
        <f t="shared" si="3"/>
        <v>13200000</v>
      </c>
    </row>
    <row r="101" spans="1:11" s="1045" customFormat="1" ht="37.5">
      <c r="A101" s="1186"/>
      <c r="B101" s="1186"/>
      <c r="C101" s="1186"/>
      <c r="D101" s="1188"/>
      <c r="E101" s="1056" t="s">
        <v>3224</v>
      </c>
      <c r="F101" s="1057">
        <v>7200000</v>
      </c>
      <c r="G101" s="1057"/>
      <c r="H101" s="1057"/>
      <c r="I101" s="1058">
        <v>6000000</v>
      </c>
      <c r="K101" s="425">
        <f t="shared" si="3"/>
        <v>13200000</v>
      </c>
    </row>
    <row r="102" spans="1:11" s="1045" customFormat="1" ht="37.5">
      <c r="A102" s="1186"/>
      <c r="B102" s="1186"/>
      <c r="C102" s="1186"/>
      <c r="D102" s="1188"/>
      <c r="E102" s="1056" t="s">
        <v>3225</v>
      </c>
      <c r="F102" s="1057">
        <v>7200000</v>
      </c>
      <c r="G102" s="1057"/>
      <c r="H102" s="1057"/>
      <c r="I102" s="1058">
        <v>6000000</v>
      </c>
      <c r="K102" s="425">
        <f t="shared" si="3"/>
        <v>13200000</v>
      </c>
    </row>
    <row r="103" spans="1:11" s="1045" customFormat="1" ht="37.5">
      <c r="A103" s="1186"/>
      <c r="B103" s="1186"/>
      <c r="C103" s="1186"/>
      <c r="D103" s="1188"/>
      <c r="E103" s="1056" t="s">
        <v>3226</v>
      </c>
      <c r="F103" s="1057">
        <v>7200000</v>
      </c>
      <c r="G103" s="1057"/>
      <c r="H103" s="1057"/>
      <c r="I103" s="1058">
        <v>3180000</v>
      </c>
      <c r="K103" s="425">
        <f t="shared" si="3"/>
        <v>10380000</v>
      </c>
    </row>
    <row r="104" spans="1:11" s="1045" customFormat="1" ht="37.5">
      <c r="A104" s="1186"/>
      <c r="B104" s="1186"/>
      <c r="C104" s="1186"/>
      <c r="D104" s="1188"/>
      <c r="E104" s="1056" t="s">
        <v>3227</v>
      </c>
      <c r="F104" s="1057">
        <v>7200000</v>
      </c>
      <c r="G104" s="1057"/>
      <c r="H104" s="1057"/>
      <c r="I104" s="1058">
        <f>3180000+720000</f>
        <v>3900000</v>
      </c>
      <c r="K104" s="425">
        <f t="shared" si="3"/>
        <v>11100000</v>
      </c>
    </row>
    <row r="105" spans="1:11" s="1045" customFormat="1" ht="37.5">
      <c r="A105" s="1186"/>
      <c r="B105" s="1186"/>
      <c r="C105" s="1186"/>
      <c r="D105" s="1188"/>
      <c r="E105" s="1056" t="s">
        <v>3228</v>
      </c>
      <c r="F105" s="1057">
        <v>7200000</v>
      </c>
      <c r="G105" s="1057"/>
      <c r="H105" s="1057"/>
      <c r="I105" s="1058">
        <v>6000000</v>
      </c>
      <c r="K105" s="425">
        <f t="shared" si="3"/>
        <v>13200000</v>
      </c>
    </row>
    <row r="106" spans="1:11" s="1045" customFormat="1" ht="37.5">
      <c r="A106" s="1186"/>
      <c r="B106" s="1186"/>
      <c r="C106" s="1186"/>
      <c r="D106" s="1188"/>
      <c r="E106" s="1056" t="s">
        <v>3229</v>
      </c>
      <c r="F106" s="1057">
        <v>7200000</v>
      </c>
      <c r="G106" s="1057"/>
      <c r="H106" s="1057"/>
      <c r="I106" s="1058">
        <v>3180000</v>
      </c>
      <c r="K106" s="425">
        <f t="shared" si="3"/>
        <v>10380000</v>
      </c>
    </row>
    <row r="107" spans="1:11" s="1045" customFormat="1" ht="37.5">
      <c r="A107" s="1186"/>
      <c r="B107" s="1186"/>
      <c r="C107" s="1186"/>
      <c r="D107" s="1188"/>
      <c r="E107" s="1056" t="s">
        <v>3230</v>
      </c>
      <c r="F107" s="1057">
        <v>7200000</v>
      </c>
      <c r="G107" s="1057"/>
      <c r="H107" s="1057"/>
      <c r="I107" s="1058">
        <f>3180000+400000</f>
        <v>3580000</v>
      </c>
      <c r="K107" s="425">
        <f t="shared" si="3"/>
        <v>10780000</v>
      </c>
    </row>
    <row r="108" spans="1:11" s="1045" customFormat="1" ht="37.5">
      <c r="A108" s="1186"/>
      <c r="B108" s="1186"/>
      <c r="C108" s="1186"/>
      <c r="D108" s="1188"/>
      <c r="E108" s="1056" t="s">
        <v>3231</v>
      </c>
      <c r="F108" s="1057">
        <v>7200000</v>
      </c>
      <c r="G108" s="1057"/>
      <c r="H108" s="1057"/>
      <c r="I108" s="1058">
        <v>3180000</v>
      </c>
      <c r="K108" s="425">
        <f t="shared" si="3"/>
        <v>10380000</v>
      </c>
    </row>
    <row r="109" spans="1:11" s="1045" customFormat="1" ht="37.5">
      <c r="A109" s="1186"/>
      <c r="B109" s="1186"/>
      <c r="C109" s="1186"/>
      <c r="D109" s="1188"/>
      <c r="E109" s="1056" t="s">
        <v>3232</v>
      </c>
      <c r="F109" s="1057">
        <v>7200000</v>
      </c>
      <c r="G109" s="1057"/>
      <c r="H109" s="1057"/>
      <c r="I109" s="1058">
        <f>3180000+720000</f>
        <v>3900000</v>
      </c>
      <c r="K109" s="425">
        <f t="shared" si="3"/>
        <v>11100000</v>
      </c>
    </row>
    <row r="110" spans="1:11" s="1045" customFormat="1" ht="37.5">
      <c r="A110" s="1186"/>
      <c r="B110" s="1186"/>
      <c r="C110" s="1186"/>
      <c r="D110" s="1188"/>
      <c r="E110" s="1056" t="s">
        <v>3233</v>
      </c>
      <c r="F110" s="1057">
        <v>7200000</v>
      </c>
      <c r="G110" s="1057"/>
      <c r="H110" s="1057"/>
      <c r="I110" s="1058">
        <v>6480000</v>
      </c>
      <c r="K110" s="425">
        <f t="shared" si="3"/>
        <v>13680000</v>
      </c>
    </row>
    <row r="111" spans="1:11" s="1045" customFormat="1" ht="37.5">
      <c r="A111" s="1186"/>
      <c r="B111" s="1186"/>
      <c r="C111" s="1186"/>
      <c r="D111" s="1188"/>
      <c r="E111" s="1056" t="s">
        <v>3234</v>
      </c>
      <c r="F111" s="1057">
        <v>7200000</v>
      </c>
      <c r="G111" s="1057"/>
      <c r="H111" s="1057"/>
      <c r="I111" s="1058">
        <v>6480000</v>
      </c>
      <c r="K111" s="425">
        <f t="shared" si="3"/>
        <v>13680000</v>
      </c>
    </row>
    <row r="112" spans="1:11" s="1045" customFormat="1" ht="37.5">
      <c r="A112" s="1186"/>
      <c r="B112" s="1186"/>
      <c r="C112" s="1186"/>
      <c r="D112" s="1188"/>
      <c r="E112" s="1056" t="s">
        <v>3235</v>
      </c>
      <c r="F112" s="1057">
        <v>7200000</v>
      </c>
      <c r="G112" s="1057"/>
      <c r="H112" s="1057"/>
      <c r="I112" s="1058">
        <v>6480000</v>
      </c>
      <c r="K112" s="425">
        <f t="shared" si="3"/>
        <v>13680000</v>
      </c>
    </row>
    <row r="113" spans="1:11" s="1045" customFormat="1" ht="37.5">
      <c r="A113" s="1186"/>
      <c r="B113" s="1186"/>
      <c r="C113" s="1186"/>
      <c r="D113" s="1188"/>
      <c r="E113" s="1056" t="s">
        <v>3236</v>
      </c>
      <c r="F113" s="1057">
        <v>7200000</v>
      </c>
      <c r="G113" s="1057"/>
      <c r="H113" s="1057"/>
      <c r="I113" s="1058">
        <f>6480000+669880</f>
        <v>7149880</v>
      </c>
      <c r="K113" s="425">
        <f t="shared" si="3"/>
        <v>14349880</v>
      </c>
    </row>
    <row r="114" spans="1:11" s="1045" customFormat="1" ht="37.5">
      <c r="A114" s="1186"/>
      <c r="B114" s="1186"/>
      <c r="C114" s="1186"/>
      <c r="D114" s="1188"/>
      <c r="E114" s="1056" t="s">
        <v>3237</v>
      </c>
      <c r="F114" s="1057">
        <v>7200000</v>
      </c>
      <c r="G114" s="1057"/>
      <c r="H114" s="1057"/>
      <c r="I114" s="1058">
        <v>6480000</v>
      </c>
      <c r="K114" s="425">
        <f t="shared" si="3"/>
        <v>13680000</v>
      </c>
    </row>
    <row r="115" spans="1:11" s="1045" customFormat="1" ht="37.5">
      <c r="A115" s="1186"/>
      <c r="B115" s="1186"/>
      <c r="C115" s="1186"/>
      <c r="D115" s="1188"/>
      <c r="E115" s="1056" t="s">
        <v>3238</v>
      </c>
      <c r="F115" s="1057">
        <v>7200000</v>
      </c>
      <c r="G115" s="1057"/>
      <c r="H115" s="1057"/>
      <c r="I115" s="1058">
        <f>3500000+200000</f>
        <v>3700000</v>
      </c>
      <c r="K115" s="425">
        <f t="shared" si="3"/>
        <v>10900000</v>
      </c>
    </row>
    <row r="116" spans="1:11" s="1045" customFormat="1" ht="34.5">
      <c r="A116" s="1186"/>
      <c r="B116" s="1186"/>
      <c r="C116" s="1186"/>
      <c r="D116" s="1188"/>
      <c r="E116" s="1056" t="s">
        <v>3239</v>
      </c>
      <c r="F116" s="1057">
        <v>7200000</v>
      </c>
      <c r="G116" s="1057"/>
      <c r="H116" s="1057"/>
      <c r="I116" s="1058">
        <f>6480000+720000</f>
        <v>7200000</v>
      </c>
      <c r="K116" s="425">
        <f t="shared" si="3"/>
        <v>14400000</v>
      </c>
    </row>
    <row r="117" spans="1:11" s="1045" customFormat="1" ht="37.5">
      <c r="A117" s="1186"/>
      <c r="B117" s="1186"/>
      <c r="C117" s="1186"/>
      <c r="D117" s="1189"/>
      <c r="E117" s="1056" t="s">
        <v>3240</v>
      </c>
      <c r="F117" s="1057">
        <v>7200000</v>
      </c>
      <c r="G117" s="1057"/>
      <c r="H117" s="1057"/>
      <c r="I117" s="1058">
        <f>3180000+2700000</f>
        <v>5880000</v>
      </c>
      <c r="K117" s="425">
        <f t="shared" si="3"/>
        <v>13080000</v>
      </c>
    </row>
    <row r="118" spans="1:11" ht="43.5" customHeight="1">
      <c r="A118" s="577" t="s">
        <v>713</v>
      </c>
      <c r="B118" s="577" t="s">
        <v>506</v>
      </c>
      <c r="C118" s="577"/>
      <c r="D118" s="578" t="s">
        <v>508</v>
      </c>
      <c r="E118" s="1000"/>
      <c r="F118" s="986">
        <f>SUM(F119:F129)</f>
        <v>18522735</v>
      </c>
      <c r="G118" s="986"/>
      <c r="H118" s="986">
        <f>SUM(H119:H129)</f>
        <v>5346155.68</v>
      </c>
      <c r="I118" s="986">
        <f>SUM(I119:I129)</f>
        <v>12808337</v>
      </c>
      <c r="K118" s="425">
        <f t="shared" si="3"/>
        <v>36677227.68</v>
      </c>
    </row>
    <row r="119" spans="1:11" s="1010" customFormat="1" ht="56.25">
      <c r="A119" s="417" t="s">
        <v>714</v>
      </c>
      <c r="B119" s="417" t="s">
        <v>507</v>
      </c>
      <c r="C119" s="417" t="s">
        <v>9</v>
      </c>
      <c r="D119" s="581" t="s">
        <v>114</v>
      </c>
      <c r="E119" s="1011" t="s">
        <v>1599</v>
      </c>
      <c r="F119" s="1012">
        <v>1307414</v>
      </c>
      <c r="G119" s="1012">
        <v>56</v>
      </c>
      <c r="H119" s="1012">
        <v>736877</v>
      </c>
      <c r="I119" s="1012">
        <v>1400000</v>
      </c>
      <c r="J119" s="1013">
        <f>I119</f>
        <v>1400000</v>
      </c>
      <c r="K119" s="425">
        <f t="shared" si="3"/>
        <v>3444347</v>
      </c>
    </row>
    <row r="120" spans="1:11" s="1010" customFormat="1" ht="75">
      <c r="A120" s="417" t="s">
        <v>717</v>
      </c>
      <c r="B120" s="417" t="s">
        <v>718</v>
      </c>
      <c r="C120" s="417" t="s">
        <v>29</v>
      </c>
      <c r="D120" s="581" t="s">
        <v>115</v>
      </c>
      <c r="E120" s="1014" t="s">
        <v>1722</v>
      </c>
      <c r="F120" s="1004"/>
      <c r="G120" s="1004"/>
      <c r="H120" s="1004"/>
      <c r="I120" s="1004">
        <v>5400000</v>
      </c>
      <c r="J120" s="1013">
        <f>I120</f>
        <v>5400000</v>
      </c>
      <c r="K120" s="425">
        <f t="shared" si="3"/>
        <v>5400000</v>
      </c>
    </row>
    <row r="121" spans="1:11" s="1010" customFormat="1" ht="37.5" customHeight="1">
      <c r="A121" s="1182">
        <v>1618313</v>
      </c>
      <c r="B121" s="1182">
        <v>8313</v>
      </c>
      <c r="C121" s="1182" t="s">
        <v>483</v>
      </c>
      <c r="D121" s="1173" t="s">
        <v>243</v>
      </c>
      <c r="E121" s="1014" t="s">
        <v>1600</v>
      </c>
      <c r="F121" s="1004">
        <v>2299144</v>
      </c>
      <c r="G121" s="1004">
        <v>11</v>
      </c>
      <c r="H121" s="1004">
        <v>242584</v>
      </c>
      <c r="I121" s="1004">
        <f>28400+12200</f>
        <v>40600</v>
      </c>
      <c r="J121" s="1013">
        <f>SUM(I121:I129)</f>
        <v>6008337</v>
      </c>
      <c r="K121" s="425">
        <f t="shared" si="3"/>
        <v>2582339</v>
      </c>
    </row>
    <row r="122" spans="1:11" s="1010" customFormat="1" ht="37.5">
      <c r="A122" s="1183"/>
      <c r="B122" s="1183"/>
      <c r="C122" s="1183"/>
      <c r="D122" s="1174"/>
      <c r="E122" s="1014" t="s">
        <v>1601</v>
      </c>
      <c r="F122" s="1004">
        <v>3621259</v>
      </c>
      <c r="G122" s="1004">
        <v>54</v>
      </c>
      <c r="H122" s="1004">
        <v>1947445</v>
      </c>
      <c r="I122" s="1004">
        <f>1368900+1070000</f>
        <v>2438900</v>
      </c>
      <c r="K122" s="425">
        <f t="shared" si="3"/>
        <v>8007658</v>
      </c>
    </row>
    <row r="123" spans="1:11" s="1010" customFormat="1" ht="37.5">
      <c r="A123" s="1183"/>
      <c r="B123" s="1183"/>
      <c r="C123" s="1183"/>
      <c r="D123" s="1174"/>
      <c r="E123" s="1014" t="s">
        <v>1614</v>
      </c>
      <c r="F123" s="1004">
        <v>1127249</v>
      </c>
      <c r="G123" s="1004">
        <v>7</v>
      </c>
      <c r="H123" s="1004">
        <v>83556.679999999993</v>
      </c>
      <c r="I123" s="1004">
        <v>12400</v>
      </c>
      <c r="K123" s="425">
        <f t="shared" si="3"/>
        <v>1223212.68</v>
      </c>
    </row>
    <row r="124" spans="1:11" s="1010" customFormat="1" ht="37.5">
      <c r="A124" s="1183"/>
      <c r="B124" s="1183"/>
      <c r="C124" s="1183"/>
      <c r="D124" s="1174"/>
      <c r="E124" s="1014" t="s">
        <v>3208</v>
      </c>
      <c r="F124" s="1004">
        <v>806273</v>
      </c>
      <c r="G124" s="1004">
        <v>61</v>
      </c>
      <c r="H124" s="1004">
        <v>492226</v>
      </c>
      <c r="I124" s="1004">
        <f>473000+202637</f>
        <v>675637</v>
      </c>
      <c r="K124" s="425">
        <f t="shared" si="3"/>
        <v>1974197</v>
      </c>
    </row>
    <row r="125" spans="1:11" s="1010" customFormat="1" ht="37.5">
      <c r="A125" s="1183"/>
      <c r="B125" s="1183"/>
      <c r="C125" s="1183"/>
      <c r="D125" s="1174"/>
      <c r="E125" s="1014" t="s">
        <v>3209</v>
      </c>
      <c r="F125" s="1004">
        <v>1461967</v>
      </c>
      <c r="G125" s="1004">
        <v>7</v>
      </c>
      <c r="H125" s="1004">
        <v>103751</v>
      </c>
      <c r="I125" s="1004">
        <v>10900</v>
      </c>
      <c r="K125" s="425">
        <f t="shared" si="3"/>
        <v>1576625</v>
      </c>
    </row>
    <row r="126" spans="1:11" s="1010" customFormat="1" ht="18.75">
      <c r="A126" s="1183"/>
      <c r="B126" s="1183"/>
      <c r="C126" s="1183"/>
      <c r="D126" s="1174"/>
      <c r="E126" s="1014" t="s">
        <v>1602</v>
      </c>
      <c r="F126" s="1004">
        <v>1139020</v>
      </c>
      <c r="G126" s="1004">
        <v>21</v>
      </c>
      <c r="H126" s="1004">
        <v>240116</v>
      </c>
      <c r="I126" s="1004">
        <v>140000</v>
      </c>
      <c r="K126" s="425">
        <f t="shared" si="3"/>
        <v>1519157</v>
      </c>
    </row>
    <row r="127" spans="1:11" s="1010" customFormat="1" ht="37.5">
      <c r="A127" s="1183"/>
      <c r="B127" s="1183"/>
      <c r="C127" s="1183"/>
      <c r="D127" s="1174"/>
      <c r="E127" s="1014" t="s">
        <v>1603</v>
      </c>
      <c r="F127" s="1004">
        <v>1197862</v>
      </c>
      <c r="G127" s="1004">
        <v>2</v>
      </c>
      <c r="H127" s="1004">
        <v>22600</v>
      </c>
      <c r="I127" s="1004">
        <v>12900</v>
      </c>
      <c r="K127" s="425">
        <f t="shared" si="3"/>
        <v>1233364</v>
      </c>
    </row>
    <row r="128" spans="1:11" s="1010" customFormat="1" ht="37.5">
      <c r="A128" s="1183"/>
      <c r="B128" s="1183"/>
      <c r="C128" s="1183"/>
      <c r="D128" s="1174"/>
      <c r="E128" s="1015" t="s">
        <v>1604</v>
      </c>
      <c r="F128" s="1004">
        <v>4143182</v>
      </c>
      <c r="G128" s="1004">
        <v>35.6</v>
      </c>
      <c r="H128" s="1004">
        <v>1477000</v>
      </c>
      <c r="I128" s="1004">
        <v>1477000</v>
      </c>
      <c r="K128" s="425">
        <f t="shared" si="3"/>
        <v>7097217.5999999996</v>
      </c>
    </row>
    <row r="129" spans="1:15" s="1010" customFormat="1" ht="37.5">
      <c r="A129" s="1183"/>
      <c r="B129" s="1183"/>
      <c r="C129" s="1183"/>
      <c r="D129" s="1184"/>
      <c r="E129" s="1015" t="s">
        <v>1605</v>
      </c>
      <c r="F129" s="1004">
        <v>1419365</v>
      </c>
      <c r="G129" s="1004"/>
      <c r="H129" s="1004"/>
      <c r="I129" s="1004">
        <v>1200000</v>
      </c>
      <c r="K129" s="425">
        <f t="shared" si="3"/>
        <v>2619365</v>
      </c>
    </row>
    <row r="130" spans="1:15" ht="47.25">
      <c r="A130" s="598" t="s">
        <v>741</v>
      </c>
      <c r="B130" s="598"/>
      <c r="C130" s="598"/>
      <c r="D130" s="589" t="s">
        <v>420</v>
      </c>
      <c r="E130" s="598"/>
      <c r="F130" s="590"/>
      <c r="G130" s="590"/>
      <c r="H130" s="590"/>
      <c r="I130" s="590">
        <f>I131</f>
        <v>3024180</v>
      </c>
      <c r="K130" s="425">
        <f t="shared" si="3"/>
        <v>3024180</v>
      </c>
    </row>
    <row r="131" spans="1:15" ht="47.25">
      <c r="A131" s="598" t="s">
        <v>742</v>
      </c>
      <c r="B131" s="598"/>
      <c r="C131" s="598"/>
      <c r="D131" s="589" t="s">
        <v>420</v>
      </c>
      <c r="E131" s="598"/>
      <c r="F131" s="590"/>
      <c r="G131" s="590"/>
      <c r="H131" s="590"/>
      <c r="I131" s="590">
        <f>I133+I134+I135+I136+I137+I138+I139+I140</f>
        <v>3024180</v>
      </c>
      <c r="K131" s="425">
        <f t="shared" si="3"/>
        <v>3024180</v>
      </c>
    </row>
    <row r="132" spans="1:15" s="1010" customFormat="1" ht="31.5">
      <c r="A132" s="577" t="s">
        <v>743</v>
      </c>
      <c r="B132" s="577" t="s">
        <v>506</v>
      </c>
      <c r="C132" s="577"/>
      <c r="D132" s="578" t="s">
        <v>508</v>
      </c>
      <c r="E132" s="578"/>
      <c r="F132" s="605">
        <f>SUM(F133:F139)</f>
        <v>20339147</v>
      </c>
      <c r="G132" s="1016"/>
      <c r="H132" s="605">
        <f>SUM(H133:H139)</f>
        <v>2206600</v>
      </c>
      <c r="I132" s="605">
        <f>SUM(I133:I140)</f>
        <v>3024180</v>
      </c>
      <c r="K132" s="425">
        <f t="shared" si="3"/>
        <v>25569927</v>
      </c>
    </row>
    <row r="133" spans="1:15" s="1010" customFormat="1" ht="18.75" customHeight="1">
      <c r="A133" s="1182">
        <v>2818313</v>
      </c>
      <c r="B133" s="1182">
        <v>8313</v>
      </c>
      <c r="C133" s="1182" t="s">
        <v>483</v>
      </c>
      <c r="D133" s="1191" t="s">
        <v>243</v>
      </c>
      <c r="E133" s="1017" t="s">
        <v>1606</v>
      </c>
      <c r="F133" s="1004">
        <v>8581991</v>
      </c>
      <c r="G133" s="1004">
        <v>19</v>
      </c>
      <c r="H133" s="1004">
        <v>1592500</v>
      </c>
      <c r="I133" s="1004">
        <f>1592500+682500</f>
        <v>2275000</v>
      </c>
      <c r="J133" s="1013">
        <f>SUM(I133:I140)</f>
        <v>3024180</v>
      </c>
      <c r="K133" s="425">
        <f t="shared" si="3"/>
        <v>12449510</v>
      </c>
    </row>
    <row r="134" spans="1:15" s="1010" customFormat="1" ht="37.5">
      <c r="A134" s="1183"/>
      <c r="B134" s="1183"/>
      <c r="C134" s="1183"/>
      <c r="D134" s="1192"/>
      <c r="E134" s="1017" t="s">
        <v>1607</v>
      </c>
      <c r="F134" s="1004">
        <v>100000</v>
      </c>
      <c r="G134" s="1004">
        <v>100</v>
      </c>
      <c r="H134" s="1004">
        <v>100000</v>
      </c>
      <c r="I134" s="1004">
        <v>100000</v>
      </c>
      <c r="K134" s="425">
        <f t="shared" si="3"/>
        <v>300100</v>
      </c>
    </row>
    <row r="135" spans="1:15" s="1010" customFormat="1" ht="56.25">
      <c r="A135" s="1183"/>
      <c r="B135" s="1183"/>
      <c r="C135" s="1183"/>
      <c r="D135" s="1192"/>
      <c r="E135" s="1017" t="s">
        <v>1608</v>
      </c>
      <c r="F135" s="1004">
        <v>956772</v>
      </c>
      <c r="G135" s="1004">
        <v>10</v>
      </c>
      <c r="H135" s="1004">
        <v>99300</v>
      </c>
      <c r="I135" s="1004">
        <v>99300</v>
      </c>
      <c r="K135" s="425">
        <f t="shared" si="3"/>
        <v>1155382</v>
      </c>
    </row>
    <row r="136" spans="1:15" s="1010" customFormat="1" ht="37.5">
      <c r="A136" s="1183"/>
      <c r="B136" s="1183"/>
      <c r="C136" s="1183"/>
      <c r="D136" s="1192"/>
      <c r="E136" s="1017" t="s">
        <v>1609</v>
      </c>
      <c r="F136" s="1004">
        <v>6405117</v>
      </c>
      <c r="G136" s="1004">
        <v>3</v>
      </c>
      <c r="H136" s="1004">
        <v>160200</v>
      </c>
      <c r="I136" s="1004">
        <f>160200+68600</f>
        <v>228800</v>
      </c>
      <c r="K136" s="425">
        <f t="shared" si="3"/>
        <v>6794120</v>
      </c>
    </row>
    <row r="137" spans="1:15" s="1010" customFormat="1" ht="37.5">
      <c r="A137" s="1183"/>
      <c r="B137" s="1183"/>
      <c r="C137" s="1183"/>
      <c r="D137" s="1192"/>
      <c r="E137" s="1017" t="s">
        <v>1610</v>
      </c>
      <c r="F137" s="1004">
        <v>100000</v>
      </c>
      <c r="G137" s="1004">
        <v>100</v>
      </c>
      <c r="H137" s="1004">
        <v>100000</v>
      </c>
      <c r="I137" s="1004">
        <v>100000</v>
      </c>
      <c r="K137" s="425">
        <f t="shared" si="3"/>
        <v>300100</v>
      </c>
    </row>
    <row r="138" spans="1:15" s="1010" customFormat="1" ht="37.5">
      <c r="A138" s="1183"/>
      <c r="B138" s="1183"/>
      <c r="C138" s="1183"/>
      <c r="D138" s="1192"/>
      <c r="E138" s="1017" t="s">
        <v>1611</v>
      </c>
      <c r="F138" s="1004">
        <v>4145267</v>
      </c>
      <c r="G138" s="1004">
        <v>3</v>
      </c>
      <c r="H138" s="1004">
        <v>104600</v>
      </c>
      <c r="I138" s="1004">
        <v>104600</v>
      </c>
      <c r="K138" s="425">
        <f t="shared" si="3"/>
        <v>4354470</v>
      </c>
    </row>
    <row r="139" spans="1:15" s="1010" customFormat="1" ht="56.25">
      <c r="A139" s="1183"/>
      <c r="B139" s="1183"/>
      <c r="C139" s="1183"/>
      <c r="D139" s="1192"/>
      <c r="E139" s="1017" t="s">
        <v>1612</v>
      </c>
      <c r="F139" s="1004">
        <v>50000</v>
      </c>
      <c r="G139" s="1004">
        <v>100</v>
      </c>
      <c r="H139" s="1004">
        <v>50000</v>
      </c>
      <c r="I139" s="1004">
        <v>50000</v>
      </c>
      <c r="K139" s="425">
        <f t="shared" si="3"/>
        <v>150100</v>
      </c>
    </row>
    <row r="140" spans="1:15" s="1010" customFormat="1" ht="37.5">
      <c r="A140" s="1190"/>
      <c r="B140" s="1190"/>
      <c r="C140" s="1190"/>
      <c r="D140" s="1018"/>
      <c r="E140" s="1019" t="s">
        <v>1947</v>
      </c>
      <c r="F140" s="427"/>
      <c r="G140" s="427"/>
      <c r="H140" s="427"/>
      <c r="I140" s="427">
        <v>66480</v>
      </c>
      <c r="K140" s="425">
        <f t="shared" si="3"/>
        <v>66480</v>
      </c>
      <c r="M140" s="1020"/>
    </row>
    <row r="141" spans="1:15" ht="18.75">
      <c r="A141" s="1181" t="s">
        <v>253</v>
      </c>
      <c r="B141" s="1181"/>
      <c r="C141" s="1181"/>
      <c r="D141" s="1181"/>
      <c r="E141" s="1021"/>
      <c r="F141" s="1009"/>
      <c r="G141" s="1009"/>
      <c r="H141" s="1009"/>
      <c r="I141" s="1063">
        <f>I21+I13+I130+I17</f>
        <v>275575051.02999997</v>
      </c>
      <c r="J141" s="458">
        <f>SUM(J13:J140)</f>
        <v>275002751.02999997</v>
      </c>
      <c r="K141" s="425">
        <f t="shared" si="3"/>
        <v>275575051.02999997</v>
      </c>
    </row>
    <row r="142" spans="1:15" s="554" customFormat="1" ht="101.45" customHeight="1">
      <c r="A142" s="489"/>
      <c r="B142" s="489" t="s">
        <v>271</v>
      </c>
      <c r="C142" s="489"/>
      <c r="D142" s="489"/>
      <c r="E142" s="660"/>
      <c r="F142" s="661"/>
      <c r="G142" s="1059" t="s">
        <v>272</v>
      </c>
      <c r="H142" s="302"/>
      <c r="I142" s="673"/>
      <c r="J142" s="1022">
        <f>I141-J141</f>
        <v>572300</v>
      </c>
      <c r="K142" s="684">
        <v>1</v>
      </c>
      <c r="L142" s="673"/>
      <c r="M142" s="1023"/>
      <c r="N142" s="673"/>
      <c r="O142" s="489"/>
    </row>
    <row r="143" spans="1:15" ht="15" hidden="1">
      <c r="A143" s="1024"/>
      <c r="B143" s="1024"/>
      <c r="C143" s="1024"/>
      <c r="D143" s="1024"/>
      <c r="E143" s="1024"/>
      <c r="F143" s="1024"/>
      <c r="G143" s="1024"/>
      <c r="H143" s="1024"/>
      <c r="I143" s="1024"/>
    </row>
    <row r="144" spans="1:15" ht="15" hidden="1">
      <c r="A144" s="1024"/>
      <c r="B144" s="1024"/>
      <c r="C144" s="1024"/>
      <c r="D144" s="1024" t="s">
        <v>118</v>
      </c>
      <c r="E144" s="1024"/>
      <c r="F144" s="1024"/>
      <c r="G144" s="1024"/>
      <c r="H144" s="1024"/>
      <c r="I144" s="1025">
        <f>I14+I22+I131+I18</f>
        <v>275575051.02999997</v>
      </c>
    </row>
    <row r="145" spans="1:12" ht="18" hidden="1">
      <c r="A145" s="1026"/>
      <c r="B145" s="1026"/>
      <c r="C145" s="1026"/>
      <c r="D145" s="1026"/>
      <c r="E145" s="1026"/>
      <c r="F145" s="1026"/>
      <c r="G145" s="1026"/>
      <c r="H145" s="1026"/>
      <c r="I145" s="1027"/>
    </row>
    <row r="146" spans="1:12" ht="18" hidden="1">
      <c r="A146" s="879"/>
      <c r="B146" s="879"/>
      <c r="C146" s="879"/>
      <c r="D146" s="879"/>
      <c r="E146" s="879"/>
      <c r="F146" s="1026"/>
      <c r="G146" s="1026"/>
      <c r="H146" s="1026"/>
      <c r="I146" s="1027"/>
      <c r="K146" s="425">
        <f>I146-J146</f>
        <v>0</v>
      </c>
      <c r="L146" s="425">
        <f>I13+I28+I29+I30+I57+I58+I59</f>
        <v>6090849</v>
      </c>
    </row>
    <row r="147" spans="1:12" ht="18" hidden="1">
      <c r="A147" s="1026"/>
      <c r="B147" s="1026"/>
      <c r="C147" s="1026"/>
      <c r="D147" s="1026"/>
      <c r="E147" s="1026"/>
      <c r="F147" s="1026"/>
      <c r="G147" s="1026"/>
      <c r="H147" s="1027"/>
      <c r="I147" s="1028"/>
    </row>
    <row r="148" spans="1:12" ht="18" hidden="1">
      <c r="A148" s="1026"/>
      <c r="B148" s="1026"/>
      <c r="C148" s="1026"/>
      <c r="D148" s="1026"/>
      <c r="E148" s="1027"/>
      <c r="F148" s="1026"/>
      <c r="G148" s="1026"/>
      <c r="H148" s="1026"/>
      <c r="I148" s="1027"/>
    </row>
    <row r="149" spans="1:12" ht="18" hidden="1">
      <c r="A149" s="1026"/>
      <c r="B149" s="1026"/>
      <c r="C149" s="1026"/>
      <c r="D149" s="1026"/>
      <c r="E149" s="1026"/>
      <c r="F149" s="1026"/>
      <c r="G149" s="1026"/>
      <c r="H149" s="1026"/>
      <c r="I149" s="1026"/>
    </row>
    <row r="150" spans="1:12" ht="18" hidden="1">
      <c r="A150" s="1026"/>
      <c r="B150" s="1026"/>
      <c r="C150" s="1026"/>
      <c r="D150" s="1026"/>
      <c r="E150" s="1026"/>
      <c r="F150" s="1026"/>
      <c r="G150" s="1026"/>
      <c r="H150" s="1026"/>
      <c r="I150" s="1026"/>
    </row>
    <row r="151" spans="1:12" ht="18" hidden="1">
      <c r="A151" s="1026"/>
      <c r="B151" s="1026"/>
      <c r="C151" s="1026"/>
      <c r="D151" s="1026"/>
      <c r="E151" s="1026"/>
      <c r="F151" s="1026"/>
      <c r="G151" s="1026"/>
      <c r="H151" s="1026"/>
      <c r="I151" s="1026"/>
    </row>
    <row r="152" spans="1:12" ht="18" hidden="1">
      <c r="A152" s="1026"/>
      <c r="B152" s="1026"/>
      <c r="C152" s="1026"/>
      <c r="D152" s="1026"/>
      <c r="E152" s="1026"/>
      <c r="F152" s="1026"/>
      <c r="G152" s="1026"/>
      <c r="H152" s="1026"/>
      <c r="I152" s="1029"/>
    </row>
    <row r="153" spans="1:12" ht="18" hidden="1">
      <c r="A153" s="1026"/>
      <c r="B153" s="1026"/>
      <c r="C153" s="1026"/>
      <c r="D153" s="1026"/>
      <c r="E153" s="1026"/>
      <c r="F153" s="1026"/>
      <c r="G153" s="1026"/>
      <c r="H153" s="1026"/>
      <c r="I153" s="1026"/>
    </row>
    <row r="154" spans="1:12" ht="18" hidden="1">
      <c r="A154" s="1026"/>
      <c r="B154" s="1026"/>
      <c r="C154" s="1026"/>
      <c r="D154" s="1026"/>
      <c r="E154" s="1026"/>
      <c r="F154" s="1026"/>
      <c r="G154" s="1026"/>
      <c r="H154" s="1026"/>
      <c r="I154" s="1026"/>
    </row>
    <row r="155" spans="1:12" ht="18" hidden="1">
      <c r="A155" s="1026"/>
      <c r="B155" s="1026"/>
      <c r="C155" s="1026"/>
      <c r="D155" s="1026"/>
      <c r="E155" s="1026"/>
      <c r="F155" s="1026"/>
      <c r="G155" s="1026"/>
      <c r="H155" s="1026"/>
      <c r="I155" s="1026"/>
    </row>
    <row r="156" spans="1:12" ht="18" hidden="1">
      <c r="A156" s="1026"/>
      <c r="B156" s="1026"/>
      <c r="C156" s="1026"/>
      <c r="D156" s="1026"/>
      <c r="E156" s="1026"/>
      <c r="F156" s="1026"/>
      <c r="G156" s="1026"/>
      <c r="H156" s="1026"/>
      <c r="I156" s="1026"/>
    </row>
    <row r="157" spans="1:12" ht="18" hidden="1">
      <c r="A157" s="1026"/>
      <c r="B157" s="1026"/>
      <c r="C157" s="1026"/>
      <c r="D157" s="1026"/>
      <c r="E157" s="1026"/>
      <c r="F157" s="1026"/>
      <c r="G157" s="1026"/>
      <c r="H157" s="1026"/>
      <c r="I157" s="1026"/>
    </row>
    <row r="158" spans="1:12" ht="18" hidden="1">
      <c r="A158" s="1026"/>
      <c r="B158" s="1026"/>
      <c r="C158" s="1026"/>
      <c r="D158" s="1026"/>
      <c r="E158" s="1026"/>
      <c r="F158" s="1026"/>
      <c r="G158" s="1026"/>
      <c r="H158" s="1026"/>
      <c r="I158" s="1026"/>
    </row>
    <row r="159" spans="1:12" ht="18" hidden="1">
      <c r="A159" s="1026"/>
      <c r="B159" s="1026"/>
      <c r="C159" s="1026"/>
      <c r="D159" s="1026"/>
      <c r="E159" s="1026"/>
      <c r="F159" s="1026"/>
      <c r="G159" s="1026"/>
      <c r="H159" s="1026"/>
      <c r="I159" s="1026"/>
    </row>
    <row r="160" spans="1:12" ht="18" hidden="1">
      <c r="A160" s="1026"/>
      <c r="B160" s="1026"/>
      <c r="C160" s="1026"/>
      <c r="D160" s="1026"/>
      <c r="E160" s="1026"/>
      <c r="F160" s="1026"/>
      <c r="G160" s="1026"/>
      <c r="H160" s="1026"/>
      <c r="I160" s="1026"/>
    </row>
    <row r="161" spans="1:9" ht="18" hidden="1">
      <c r="A161" s="1026"/>
      <c r="B161" s="1026"/>
      <c r="C161" s="1026"/>
      <c r="D161" s="1026"/>
      <c r="E161" s="1026"/>
      <c r="F161" s="1026"/>
      <c r="G161" s="1026"/>
      <c r="H161" s="1026"/>
      <c r="I161" s="1026"/>
    </row>
    <row r="162" spans="1:9" ht="18" hidden="1">
      <c r="A162" s="1026"/>
      <c r="B162" s="1026"/>
      <c r="C162" s="1026"/>
      <c r="D162" s="1026"/>
      <c r="E162" s="1026"/>
      <c r="F162" s="1026"/>
      <c r="G162" s="1026"/>
      <c r="H162" s="1026"/>
      <c r="I162" s="1026"/>
    </row>
    <row r="163" spans="1:9" ht="18" hidden="1">
      <c r="A163" s="1026"/>
      <c r="B163" s="1026"/>
      <c r="C163" s="1026"/>
      <c r="D163" s="1026"/>
      <c r="E163" s="1026"/>
      <c r="F163" s="1026"/>
      <c r="G163" s="1026"/>
      <c r="H163" s="1026"/>
      <c r="I163" s="1026"/>
    </row>
    <row r="164" spans="1:9" ht="18" hidden="1">
      <c r="A164" s="1026"/>
      <c r="B164" s="1026"/>
      <c r="C164" s="1026"/>
      <c r="D164" s="1026"/>
      <c r="E164" s="1026"/>
      <c r="F164" s="1026"/>
      <c r="G164" s="1026"/>
      <c r="H164" s="1026"/>
      <c r="I164" s="1026"/>
    </row>
    <row r="165" spans="1:9" ht="18" hidden="1">
      <c r="A165" s="1026"/>
      <c r="B165" s="1026"/>
      <c r="C165" s="1026"/>
      <c r="D165" s="1026"/>
      <c r="E165" s="1026"/>
      <c r="F165" s="1026"/>
      <c r="G165" s="1026"/>
      <c r="H165" s="1026"/>
      <c r="I165" s="1026"/>
    </row>
    <row r="166" spans="1:9" ht="18" hidden="1">
      <c r="A166" s="1026"/>
      <c r="B166" s="1026"/>
      <c r="C166" s="1026"/>
      <c r="D166" s="1026"/>
      <c r="E166" s="1026"/>
      <c r="F166" s="1026"/>
      <c r="G166" s="1026"/>
      <c r="H166" s="1026"/>
      <c r="I166" s="1026"/>
    </row>
    <row r="167" spans="1:9" ht="18" hidden="1">
      <c r="A167" s="1026"/>
      <c r="B167" s="1026"/>
      <c r="C167" s="1026"/>
      <c r="D167" s="1026"/>
      <c r="E167" s="1026"/>
      <c r="F167" s="1026"/>
      <c r="G167" s="1026"/>
      <c r="H167" s="1026"/>
      <c r="I167" s="1026"/>
    </row>
    <row r="168" spans="1:9" ht="18" hidden="1">
      <c r="A168" s="1026"/>
      <c r="B168" s="1026"/>
      <c r="C168" s="1026"/>
      <c r="D168" s="1026"/>
      <c r="E168" s="1026"/>
      <c r="F168" s="1026"/>
      <c r="G168" s="1026"/>
      <c r="H168" s="1026"/>
      <c r="I168" s="1026"/>
    </row>
    <row r="169" spans="1:9" ht="18" hidden="1">
      <c r="A169" s="1026"/>
      <c r="B169" s="1026"/>
      <c r="C169" s="1026"/>
      <c r="D169" s="1026"/>
      <c r="E169" s="1026"/>
      <c r="F169" s="1026"/>
      <c r="G169" s="1026"/>
      <c r="H169" s="1026"/>
      <c r="I169" s="1026"/>
    </row>
    <row r="170" spans="1:9" ht="18" hidden="1">
      <c r="A170" s="1026"/>
      <c r="B170" s="1026"/>
      <c r="C170" s="1026"/>
      <c r="D170" s="1026"/>
      <c r="E170" s="1026"/>
      <c r="F170" s="1026"/>
      <c r="G170" s="1026"/>
      <c r="H170" s="1026"/>
      <c r="I170" s="1026"/>
    </row>
    <row r="171" spans="1:9" ht="18" hidden="1">
      <c r="A171" s="1026"/>
      <c r="B171" s="1026"/>
      <c r="C171" s="1026"/>
      <c r="D171" s="1026"/>
      <c r="E171" s="1026"/>
      <c r="F171" s="1026"/>
      <c r="G171" s="1026"/>
      <c r="H171" s="1026"/>
      <c r="I171" s="1026"/>
    </row>
    <row r="172" spans="1:9" ht="18" hidden="1">
      <c r="A172" s="1026"/>
      <c r="B172" s="1026"/>
      <c r="C172" s="1026"/>
      <c r="D172" s="1026"/>
      <c r="E172" s="1026"/>
      <c r="F172" s="1026"/>
      <c r="G172" s="1026"/>
      <c r="H172" s="1026"/>
      <c r="I172" s="1026"/>
    </row>
    <row r="173" spans="1:9" ht="18" hidden="1">
      <c r="A173" s="1026"/>
      <c r="B173" s="1026"/>
      <c r="C173" s="1026"/>
      <c r="D173" s="1026"/>
      <c r="E173" s="1026"/>
      <c r="F173" s="1026"/>
      <c r="G173" s="1026"/>
      <c r="H173" s="1026"/>
      <c r="I173" s="1026"/>
    </row>
    <row r="174" spans="1:9" ht="18" hidden="1">
      <c r="A174" s="1026"/>
      <c r="B174" s="1026"/>
      <c r="C174" s="1026"/>
      <c r="D174" s="1026"/>
      <c r="E174" s="1026"/>
      <c r="F174" s="1026"/>
      <c r="G174" s="1026"/>
      <c r="H174" s="1026"/>
      <c r="I174" s="1026"/>
    </row>
    <row r="175" spans="1:9" ht="18" hidden="1">
      <c r="A175" s="1026"/>
      <c r="B175" s="1026"/>
      <c r="C175" s="1026"/>
      <c r="D175" s="1026"/>
      <c r="E175" s="1026"/>
      <c r="F175" s="1026"/>
      <c r="G175" s="1026"/>
      <c r="H175" s="1026"/>
      <c r="I175" s="1026"/>
    </row>
    <row r="176" spans="1:9" ht="18" hidden="1">
      <c r="A176" s="1026"/>
      <c r="B176" s="1026"/>
      <c r="C176" s="1026"/>
      <c r="D176" s="1026"/>
      <c r="E176" s="1026"/>
      <c r="F176" s="1026"/>
      <c r="G176" s="1026"/>
      <c r="H176" s="1026"/>
      <c r="I176" s="1026"/>
    </row>
    <row r="177" spans="1:9" ht="18" hidden="1">
      <c r="A177" s="1026"/>
      <c r="B177" s="1026"/>
      <c r="C177" s="1026"/>
      <c r="D177" s="1026"/>
      <c r="E177" s="1026"/>
      <c r="F177" s="1026"/>
      <c r="G177" s="1026"/>
      <c r="H177" s="1026"/>
      <c r="I177" s="1026"/>
    </row>
    <row r="178" spans="1:9" ht="18" hidden="1">
      <c r="A178" s="1026"/>
      <c r="B178" s="1026"/>
      <c r="C178" s="1026"/>
      <c r="D178" s="1026"/>
      <c r="E178" s="1026"/>
      <c r="F178" s="1026"/>
      <c r="G178" s="1026"/>
      <c r="H178" s="1026"/>
      <c r="I178" s="1026"/>
    </row>
    <row r="179" spans="1:9" ht="18" hidden="1">
      <c r="A179" s="1026"/>
      <c r="B179" s="1026"/>
      <c r="C179" s="1026"/>
      <c r="D179" s="1026"/>
      <c r="E179" s="1026"/>
      <c r="F179" s="1026"/>
      <c r="G179" s="1026"/>
      <c r="H179" s="1026"/>
      <c r="I179" s="1026"/>
    </row>
    <row r="180" spans="1:9" ht="18" hidden="1">
      <c r="A180" s="1026"/>
      <c r="B180" s="1026"/>
      <c r="C180" s="1026"/>
      <c r="D180" s="1026"/>
      <c r="E180" s="1026"/>
      <c r="F180" s="1026"/>
      <c r="G180" s="1026"/>
      <c r="H180" s="1026"/>
      <c r="I180" s="1026"/>
    </row>
    <row r="181" spans="1:9" ht="18" hidden="1">
      <c r="A181" s="1026"/>
      <c r="B181" s="1026"/>
      <c r="C181" s="1026"/>
      <c r="D181" s="1026"/>
      <c r="E181" s="1026"/>
      <c r="F181" s="1026"/>
      <c r="G181" s="1026"/>
      <c r="H181" s="1026"/>
      <c r="I181" s="1026"/>
    </row>
    <row r="182" spans="1:9" ht="18" hidden="1">
      <c r="A182" s="1026"/>
      <c r="B182" s="1026"/>
      <c r="C182" s="1026"/>
      <c r="D182" s="1026"/>
      <c r="E182" s="1026"/>
      <c r="F182" s="1026"/>
      <c r="G182" s="1026"/>
      <c r="H182" s="1026"/>
      <c r="I182" s="1026"/>
    </row>
    <row r="183" spans="1:9" ht="18" hidden="1">
      <c r="A183" s="879"/>
      <c r="B183" s="879"/>
      <c r="C183" s="879"/>
      <c r="D183" s="879"/>
      <c r="E183" s="879"/>
      <c r="F183" s="1026"/>
      <c r="G183" s="1026"/>
      <c r="H183" s="1026"/>
      <c r="I183" s="1026"/>
    </row>
    <row r="184" spans="1:9" ht="18" hidden="1">
      <c r="A184" s="879"/>
      <c r="B184" s="879"/>
      <c r="C184" s="879"/>
      <c r="D184" s="879"/>
      <c r="E184" s="879"/>
      <c r="F184" s="1026"/>
      <c r="G184" s="1026"/>
      <c r="H184" s="1026"/>
      <c r="I184" s="1026"/>
    </row>
    <row r="185" spans="1:9" ht="18" hidden="1">
      <c r="A185" s="879"/>
      <c r="B185" s="879"/>
      <c r="C185" s="879"/>
      <c r="D185" s="879"/>
      <c r="E185" s="879"/>
      <c r="F185" s="1026"/>
      <c r="G185" s="1026"/>
      <c r="H185" s="1026"/>
      <c r="I185" s="1026"/>
    </row>
    <row r="186" spans="1:9" ht="18" hidden="1">
      <c r="A186" s="879"/>
      <c r="B186" s="879"/>
      <c r="C186" s="879"/>
      <c r="D186" s="879"/>
      <c r="E186" s="879"/>
      <c r="F186" s="1026"/>
      <c r="G186" s="1026"/>
      <c r="H186" s="1026"/>
      <c r="I186" s="1026"/>
    </row>
    <row r="187" spans="1:9" ht="18" hidden="1">
      <c r="A187" s="879"/>
      <c r="B187" s="879"/>
      <c r="C187" s="879"/>
      <c r="D187" s="879"/>
      <c r="E187" s="879"/>
      <c r="F187" s="1026"/>
      <c r="G187" s="1026"/>
      <c r="H187" s="1026"/>
      <c r="I187" s="1026"/>
    </row>
    <row r="188" spans="1:9" ht="18" hidden="1">
      <c r="A188" s="879"/>
      <c r="B188" s="879"/>
      <c r="C188" s="879"/>
      <c r="D188" s="879"/>
      <c r="E188" s="879"/>
      <c r="F188" s="1026"/>
      <c r="G188" s="1026"/>
      <c r="H188" s="1026"/>
      <c r="I188" s="1026"/>
    </row>
    <row r="189" spans="1:9" ht="18" hidden="1">
      <c r="A189" s="879"/>
      <c r="B189" s="879"/>
      <c r="C189" s="879"/>
      <c r="D189" s="879"/>
      <c r="E189" s="879"/>
      <c r="F189" s="1026"/>
      <c r="G189" s="1026"/>
      <c r="H189" s="1026"/>
      <c r="I189" s="1026"/>
    </row>
    <row r="190" spans="1:9" ht="18" hidden="1">
      <c r="A190" s="879"/>
      <c r="B190" s="879"/>
      <c r="C190" s="879"/>
      <c r="D190" s="879"/>
      <c r="E190" s="879"/>
      <c r="F190" s="1026"/>
      <c r="G190" s="1026"/>
      <c r="H190" s="1026"/>
      <c r="I190" s="1026"/>
    </row>
    <row r="191" spans="1:9" ht="18" hidden="1">
      <c r="A191" s="879"/>
      <c r="B191" s="879"/>
      <c r="C191" s="879"/>
      <c r="D191" s="879"/>
      <c r="E191" s="879"/>
      <c r="F191" s="1026"/>
      <c r="G191" s="1026"/>
      <c r="H191" s="1026"/>
      <c r="I191" s="1026"/>
    </row>
    <row r="192" spans="1:9" ht="18" hidden="1">
      <c r="A192" s="879"/>
      <c r="B192" s="879"/>
      <c r="C192" s="879"/>
      <c r="D192" s="879"/>
      <c r="E192" s="879"/>
      <c r="F192" s="1026"/>
      <c r="G192" s="1026"/>
      <c r="H192" s="1026"/>
      <c r="I192" s="1026"/>
    </row>
    <row r="193" spans="1:9" ht="18" hidden="1">
      <c r="A193" s="879"/>
      <c r="B193" s="879"/>
      <c r="C193" s="879"/>
      <c r="D193" s="879"/>
      <c r="E193" s="879"/>
      <c r="F193" s="1026"/>
      <c r="G193" s="1026"/>
      <c r="H193" s="1026"/>
      <c r="I193" s="1026"/>
    </row>
    <row r="194" spans="1:9" ht="18" hidden="1">
      <c r="A194" s="879"/>
      <c r="B194" s="879"/>
      <c r="C194" s="879"/>
      <c r="D194" s="879"/>
      <c r="E194" s="879"/>
      <c r="F194" s="1026"/>
      <c r="G194" s="1026"/>
      <c r="H194" s="1026"/>
      <c r="I194" s="1026"/>
    </row>
    <row r="195" spans="1:9" ht="18" hidden="1">
      <c r="A195" s="879"/>
      <c r="B195" s="879"/>
      <c r="C195" s="879"/>
      <c r="D195" s="879"/>
      <c r="E195" s="879"/>
      <c r="F195" s="1026"/>
      <c r="G195" s="1026"/>
      <c r="H195" s="1026"/>
      <c r="I195" s="1026"/>
    </row>
    <row r="196" spans="1:9" ht="18" hidden="1">
      <c r="A196" s="879"/>
      <c r="B196" s="879"/>
      <c r="C196" s="879"/>
      <c r="D196" s="879"/>
      <c r="E196" s="879"/>
      <c r="F196" s="1026"/>
      <c r="G196" s="1026"/>
      <c r="H196" s="1026"/>
      <c r="I196" s="1026"/>
    </row>
    <row r="197" spans="1:9" ht="18" hidden="1">
      <c r="A197" s="879"/>
      <c r="B197" s="879"/>
      <c r="C197" s="879"/>
      <c r="D197" s="879"/>
      <c r="E197" s="879"/>
      <c r="F197" s="1026"/>
      <c r="G197" s="1026"/>
      <c r="H197" s="1026"/>
      <c r="I197" s="1026"/>
    </row>
    <row r="198" spans="1:9" ht="18" hidden="1">
      <c r="A198" s="879"/>
      <c r="B198" s="879"/>
      <c r="C198" s="879"/>
      <c r="D198" s="879"/>
      <c r="E198" s="879"/>
      <c r="F198" s="1026"/>
      <c r="G198" s="1026"/>
      <c r="H198" s="1026"/>
      <c r="I198" s="1026"/>
    </row>
    <row r="199" spans="1:9" ht="18" hidden="1">
      <c r="A199" s="879"/>
      <c r="B199" s="879"/>
      <c r="C199" s="879"/>
      <c r="D199" s="879"/>
      <c r="E199" s="879"/>
      <c r="F199" s="1026"/>
      <c r="G199" s="1026"/>
      <c r="H199" s="1026"/>
      <c r="I199" s="1026"/>
    </row>
    <row r="200" spans="1:9" ht="18" hidden="1">
      <c r="A200" s="879"/>
      <c r="B200" s="879"/>
      <c r="C200" s="879"/>
      <c r="D200" s="879"/>
      <c r="E200" s="879"/>
      <c r="F200" s="1026"/>
      <c r="G200" s="1026"/>
      <c r="H200" s="1026"/>
      <c r="I200" s="1026"/>
    </row>
    <row r="201" spans="1:9" ht="18" hidden="1">
      <c r="A201" s="879"/>
      <c r="B201" s="879"/>
      <c r="C201" s="879"/>
      <c r="D201" s="879"/>
      <c r="E201" s="879"/>
      <c r="F201" s="1026"/>
      <c r="G201" s="1026"/>
      <c r="H201" s="1026"/>
      <c r="I201" s="1026"/>
    </row>
    <row r="202" spans="1:9" ht="18" hidden="1">
      <c r="A202" s="879"/>
      <c r="B202" s="879"/>
      <c r="C202" s="879"/>
      <c r="D202" s="879"/>
      <c r="E202" s="879"/>
      <c r="F202" s="1026"/>
      <c r="G202" s="1026"/>
      <c r="H202" s="1026"/>
      <c r="I202" s="1026"/>
    </row>
    <row r="203" spans="1:9" ht="18" hidden="1">
      <c r="A203" s="879"/>
      <c r="B203" s="879"/>
      <c r="C203" s="879"/>
      <c r="D203" s="879"/>
      <c r="E203" s="879"/>
      <c r="F203" s="1026"/>
      <c r="G203" s="1026"/>
      <c r="H203" s="1026"/>
      <c r="I203" s="1026"/>
    </row>
    <row r="204" spans="1:9" ht="18" hidden="1">
      <c r="A204" s="879"/>
      <c r="B204" s="879"/>
      <c r="C204" s="879"/>
      <c r="D204" s="879"/>
      <c r="E204" s="879"/>
      <c r="F204" s="1026"/>
      <c r="G204" s="1026"/>
      <c r="H204" s="1026"/>
      <c r="I204" s="1026"/>
    </row>
    <row r="205" spans="1:9" ht="18" hidden="1">
      <c r="A205" s="879"/>
      <c r="B205" s="879"/>
      <c r="C205" s="879"/>
      <c r="D205" s="879"/>
      <c r="E205" s="879"/>
      <c r="F205" s="1026"/>
      <c r="G205" s="1026"/>
      <c r="H205" s="1026"/>
      <c r="I205" s="1026"/>
    </row>
    <row r="206" spans="1:9" ht="18" hidden="1">
      <c r="A206" s="879"/>
      <c r="B206" s="879"/>
      <c r="C206" s="879"/>
      <c r="D206" s="879"/>
      <c r="E206" s="879"/>
      <c r="F206" s="1026"/>
      <c r="G206" s="1026"/>
      <c r="H206" s="1026"/>
      <c r="I206" s="1026"/>
    </row>
    <row r="207" spans="1:9" ht="18" hidden="1">
      <c r="A207" s="879"/>
      <c r="B207" s="879"/>
      <c r="C207" s="879"/>
      <c r="D207" s="879"/>
      <c r="E207" s="879"/>
      <c r="F207" s="1026"/>
      <c r="G207" s="1026"/>
      <c r="H207" s="1026"/>
      <c r="I207" s="1026"/>
    </row>
    <row r="208" spans="1:9" hidden="1">
      <c r="F208" s="1030"/>
      <c r="G208" s="1030"/>
      <c r="H208" s="1030"/>
      <c r="I208" s="1030"/>
    </row>
    <row r="209" spans="6:9" hidden="1">
      <c r="F209" s="1030"/>
      <c r="G209" s="1030"/>
      <c r="H209" s="1030"/>
      <c r="I209" s="1030"/>
    </row>
    <row r="210" spans="6:9" hidden="1">
      <c r="F210" s="1030"/>
      <c r="G210" s="1030"/>
      <c r="H210" s="1030"/>
      <c r="I210" s="1030"/>
    </row>
    <row r="211" spans="6:9" hidden="1">
      <c r="F211" s="1030"/>
      <c r="G211" s="1030"/>
      <c r="H211" s="1030"/>
      <c r="I211" s="1030"/>
    </row>
    <row r="212" spans="6:9" hidden="1">
      <c r="F212" s="1030"/>
      <c r="G212" s="1030"/>
      <c r="H212" s="1030"/>
      <c r="I212" s="1030"/>
    </row>
    <row r="213" spans="6:9" hidden="1">
      <c r="F213" s="1030"/>
      <c r="G213" s="1030"/>
      <c r="H213" s="1030"/>
      <c r="I213" s="1030"/>
    </row>
    <row r="214" spans="6:9" hidden="1">
      <c r="F214" s="1030"/>
      <c r="G214" s="1030"/>
      <c r="H214" s="1030"/>
      <c r="I214" s="1030"/>
    </row>
    <row r="215" spans="6:9" hidden="1">
      <c r="F215" s="1030"/>
      <c r="G215" s="1030"/>
      <c r="H215" s="1030"/>
      <c r="I215" s="1030"/>
    </row>
    <row r="216" spans="6:9" hidden="1">
      <c r="F216" s="1030"/>
      <c r="G216" s="1030"/>
      <c r="H216" s="1030"/>
      <c r="I216" s="1030"/>
    </row>
    <row r="217" spans="6:9" hidden="1">
      <c r="F217" s="1030"/>
      <c r="G217" s="1030"/>
      <c r="H217" s="1030"/>
      <c r="I217" s="1030"/>
    </row>
    <row r="218" spans="6:9" hidden="1">
      <c r="F218" s="1030"/>
      <c r="G218" s="1030"/>
      <c r="H218" s="1030"/>
      <c r="I218" s="1030"/>
    </row>
    <row r="219" spans="6:9" hidden="1">
      <c r="F219" s="1030"/>
      <c r="G219" s="1030"/>
      <c r="H219" s="1030"/>
      <c r="I219" s="1030"/>
    </row>
    <row r="220" spans="6:9" hidden="1">
      <c r="F220" s="1030"/>
      <c r="G220" s="1030"/>
      <c r="H220" s="1030"/>
      <c r="I220" s="1030"/>
    </row>
    <row r="221" spans="6:9" hidden="1">
      <c r="F221" s="1030"/>
      <c r="G221" s="1030"/>
      <c r="H221" s="1030"/>
      <c r="I221" s="1030"/>
    </row>
    <row r="222" spans="6:9" hidden="1">
      <c r="F222" s="1030"/>
      <c r="G222" s="1030"/>
      <c r="H222" s="1030"/>
      <c r="I222" s="1030"/>
    </row>
    <row r="223" spans="6:9" hidden="1">
      <c r="F223" s="1030"/>
      <c r="G223" s="1030"/>
      <c r="H223" s="1030"/>
      <c r="I223" s="1030"/>
    </row>
    <row r="224" spans="6:9" hidden="1">
      <c r="F224" s="1030"/>
      <c r="G224" s="1030"/>
      <c r="H224" s="1030"/>
      <c r="I224" s="1030"/>
    </row>
    <row r="225" spans="6:9" hidden="1">
      <c r="F225" s="1030"/>
      <c r="G225" s="1030"/>
      <c r="H225" s="1030"/>
      <c r="I225" s="1030"/>
    </row>
    <row r="226" spans="6:9" hidden="1">
      <c r="F226" s="1030"/>
      <c r="G226" s="1030"/>
      <c r="H226" s="1030"/>
      <c r="I226" s="1030"/>
    </row>
    <row r="227" spans="6:9" hidden="1">
      <c r="F227" s="1030"/>
      <c r="G227" s="1030"/>
      <c r="H227" s="1030"/>
      <c r="I227" s="1030"/>
    </row>
    <row r="228" spans="6:9" hidden="1">
      <c r="F228" s="1030"/>
      <c r="G228" s="1030"/>
      <c r="H228" s="1030"/>
      <c r="I228" s="1030"/>
    </row>
    <row r="229" spans="6:9" hidden="1">
      <c r="F229" s="1030"/>
      <c r="G229" s="1030"/>
      <c r="H229" s="1030"/>
      <c r="I229" s="1030"/>
    </row>
    <row r="230" spans="6:9" hidden="1">
      <c r="F230" s="1030"/>
      <c r="G230" s="1030"/>
      <c r="H230" s="1030"/>
      <c r="I230" s="1030"/>
    </row>
    <row r="231" spans="6:9" hidden="1">
      <c r="F231" s="1030"/>
      <c r="G231" s="1030"/>
      <c r="H231" s="1030"/>
      <c r="I231" s="1030"/>
    </row>
    <row r="232" spans="6:9" hidden="1">
      <c r="F232" s="1030"/>
      <c r="G232" s="1030"/>
      <c r="H232" s="1030"/>
      <c r="I232" s="1030"/>
    </row>
    <row r="233" spans="6:9" hidden="1">
      <c r="F233" s="1030"/>
      <c r="G233" s="1030"/>
      <c r="H233" s="1030"/>
      <c r="I233" s="1030"/>
    </row>
    <row r="234" spans="6:9" hidden="1">
      <c r="F234" s="1030"/>
      <c r="G234" s="1030"/>
      <c r="H234" s="1030"/>
      <c r="I234" s="1030"/>
    </row>
    <row r="235" spans="6:9" hidden="1">
      <c r="F235" s="1030"/>
      <c r="G235" s="1030"/>
      <c r="H235" s="1030"/>
      <c r="I235" s="1030"/>
    </row>
    <row r="236" spans="6:9" hidden="1">
      <c r="F236" s="1030"/>
      <c r="G236" s="1030"/>
      <c r="H236" s="1030"/>
      <c r="I236" s="1030"/>
    </row>
    <row r="237" spans="6:9" hidden="1">
      <c r="F237" s="1030"/>
      <c r="G237" s="1030"/>
      <c r="H237" s="1030"/>
      <c r="I237" s="1030"/>
    </row>
    <row r="238" spans="6:9" hidden="1">
      <c r="F238" s="1030"/>
      <c r="G238" s="1030"/>
      <c r="H238" s="1030"/>
      <c r="I238" s="1030"/>
    </row>
    <row r="239" spans="6:9" hidden="1">
      <c r="F239" s="1030"/>
      <c r="G239" s="1030"/>
      <c r="H239" s="1030"/>
      <c r="I239" s="1030"/>
    </row>
    <row r="240" spans="6:9" hidden="1">
      <c r="F240" s="1030"/>
      <c r="G240" s="1030"/>
      <c r="H240" s="1030"/>
      <c r="I240" s="1030"/>
    </row>
    <row r="241" spans="6:9" hidden="1">
      <c r="F241" s="1030"/>
      <c r="G241" s="1030"/>
      <c r="H241" s="1030"/>
      <c r="I241" s="1030"/>
    </row>
    <row r="242" spans="6:9" hidden="1">
      <c r="F242" s="1030"/>
      <c r="G242" s="1030"/>
      <c r="H242" s="1030"/>
      <c r="I242" s="1030"/>
    </row>
    <row r="243" spans="6:9" hidden="1">
      <c r="F243" s="1030"/>
      <c r="G243" s="1030"/>
      <c r="H243" s="1030"/>
      <c r="I243" s="1030"/>
    </row>
    <row r="244" spans="6:9" hidden="1">
      <c r="F244" s="1030"/>
      <c r="G244" s="1030"/>
      <c r="H244" s="1030"/>
      <c r="I244" s="1030"/>
    </row>
    <row r="245" spans="6:9" hidden="1">
      <c r="F245" s="1030"/>
      <c r="G245" s="1030"/>
      <c r="H245" s="1030"/>
      <c r="I245" s="1030"/>
    </row>
    <row r="246" spans="6:9" hidden="1">
      <c r="F246" s="1030"/>
      <c r="G246" s="1030"/>
      <c r="H246" s="1030"/>
      <c r="I246" s="1030"/>
    </row>
    <row r="247" spans="6:9" hidden="1">
      <c r="F247" s="1030"/>
      <c r="G247" s="1030"/>
      <c r="H247" s="1030"/>
      <c r="I247" s="1030"/>
    </row>
    <row r="248" spans="6:9" hidden="1">
      <c r="F248" s="1030"/>
      <c r="G248" s="1030"/>
      <c r="H248" s="1030"/>
      <c r="I248" s="1030"/>
    </row>
    <row r="249" spans="6:9" hidden="1">
      <c r="F249" s="1030"/>
      <c r="G249" s="1030"/>
      <c r="H249" s="1030"/>
      <c r="I249" s="1030"/>
    </row>
    <row r="250" spans="6:9" hidden="1">
      <c r="F250" s="1030"/>
      <c r="G250" s="1030"/>
      <c r="H250" s="1030"/>
      <c r="I250" s="1030"/>
    </row>
    <row r="251" spans="6:9" hidden="1">
      <c r="F251" s="1030"/>
      <c r="G251" s="1030"/>
      <c r="H251" s="1030"/>
      <c r="I251" s="1030"/>
    </row>
    <row r="252" spans="6:9" hidden="1">
      <c r="F252" s="1030"/>
      <c r="G252" s="1030"/>
      <c r="H252" s="1030"/>
      <c r="I252" s="1030"/>
    </row>
    <row r="253" spans="6:9" hidden="1">
      <c r="F253" s="1030"/>
      <c r="G253" s="1030"/>
      <c r="H253" s="1030"/>
      <c r="I253" s="1030"/>
    </row>
    <row r="254" spans="6:9" hidden="1">
      <c r="F254" s="1030"/>
      <c r="G254" s="1030"/>
      <c r="H254" s="1030"/>
      <c r="I254" s="1030"/>
    </row>
    <row r="255" spans="6:9" hidden="1">
      <c r="F255" s="1030"/>
      <c r="G255" s="1030"/>
      <c r="H255" s="1030"/>
      <c r="I255" s="1030"/>
    </row>
    <row r="256" spans="6:9" hidden="1">
      <c r="F256" s="1030"/>
      <c r="G256" s="1030"/>
      <c r="H256" s="1030"/>
      <c r="I256" s="1030"/>
    </row>
    <row r="257" spans="6:9" hidden="1">
      <c r="F257" s="1030"/>
      <c r="G257" s="1030"/>
      <c r="H257" s="1030"/>
      <c r="I257" s="1030"/>
    </row>
    <row r="258" spans="6:9" hidden="1">
      <c r="F258" s="1030"/>
      <c r="G258" s="1030"/>
      <c r="H258" s="1030"/>
      <c r="I258" s="1030"/>
    </row>
    <row r="259" spans="6:9" hidden="1">
      <c r="F259" s="1030"/>
      <c r="G259" s="1030"/>
      <c r="H259" s="1030"/>
      <c r="I259" s="1030"/>
    </row>
    <row r="260" spans="6:9" hidden="1">
      <c r="F260" s="1030"/>
      <c r="G260" s="1030"/>
      <c r="H260" s="1030"/>
      <c r="I260" s="1030"/>
    </row>
    <row r="261" spans="6:9" hidden="1">
      <c r="F261" s="1030"/>
      <c r="G261" s="1030"/>
      <c r="H261" s="1030"/>
      <c r="I261" s="1030"/>
    </row>
    <row r="262" spans="6:9" hidden="1">
      <c r="F262" s="1030"/>
      <c r="G262" s="1030"/>
      <c r="H262" s="1030"/>
      <c r="I262" s="1030"/>
    </row>
    <row r="263" spans="6:9" hidden="1">
      <c r="F263" s="1030"/>
      <c r="G263" s="1030"/>
      <c r="H263" s="1030"/>
      <c r="I263" s="1030"/>
    </row>
    <row r="264" spans="6:9" hidden="1">
      <c r="F264" s="1030"/>
      <c r="G264" s="1030"/>
      <c r="H264" s="1030"/>
      <c r="I264" s="1030"/>
    </row>
    <row r="265" spans="6:9" hidden="1">
      <c r="F265" s="1030"/>
      <c r="G265" s="1030"/>
      <c r="H265" s="1030"/>
      <c r="I265" s="1030"/>
    </row>
    <row r="266" spans="6:9" hidden="1">
      <c r="F266" s="1030"/>
      <c r="G266" s="1030"/>
      <c r="H266" s="1030"/>
      <c r="I266" s="1030"/>
    </row>
    <row r="267" spans="6:9" hidden="1">
      <c r="F267" s="1030"/>
      <c r="G267" s="1030"/>
      <c r="H267" s="1030"/>
      <c r="I267" s="1030"/>
    </row>
    <row r="268" spans="6:9" hidden="1">
      <c r="F268" s="1030"/>
      <c r="G268" s="1030"/>
      <c r="H268" s="1030"/>
      <c r="I268" s="1030"/>
    </row>
    <row r="269" spans="6:9" hidden="1">
      <c r="F269" s="1030"/>
      <c r="G269" s="1030"/>
      <c r="H269" s="1030"/>
      <c r="I269" s="1030"/>
    </row>
    <row r="270" spans="6:9" hidden="1">
      <c r="F270" s="1030"/>
      <c r="G270" s="1030"/>
      <c r="H270" s="1030"/>
      <c r="I270" s="1030"/>
    </row>
    <row r="271" spans="6:9" hidden="1">
      <c r="F271" s="1030"/>
      <c r="G271" s="1030"/>
      <c r="H271" s="1030"/>
      <c r="I271" s="1030"/>
    </row>
    <row r="272" spans="6:9" hidden="1">
      <c r="F272" s="1030"/>
      <c r="G272" s="1030"/>
      <c r="H272" s="1030"/>
      <c r="I272" s="1030"/>
    </row>
    <row r="273" spans="6:9" hidden="1">
      <c r="F273" s="1030"/>
      <c r="G273" s="1030"/>
      <c r="H273" s="1030"/>
      <c r="I273" s="1030"/>
    </row>
    <row r="274" spans="6:9" hidden="1">
      <c r="F274" s="1030"/>
      <c r="G274" s="1030"/>
      <c r="H274" s="1030"/>
      <c r="I274" s="1030"/>
    </row>
    <row r="275" spans="6:9" hidden="1">
      <c r="F275" s="1030"/>
      <c r="G275" s="1030"/>
      <c r="H275" s="1030"/>
      <c r="I275" s="1030"/>
    </row>
    <row r="276" spans="6:9" hidden="1">
      <c r="F276" s="1030"/>
      <c r="G276" s="1030"/>
      <c r="H276" s="1030"/>
      <c r="I276" s="1030"/>
    </row>
    <row r="277" spans="6:9" hidden="1">
      <c r="F277" s="1030"/>
      <c r="G277" s="1030"/>
      <c r="H277" s="1030"/>
      <c r="I277" s="1030"/>
    </row>
    <row r="278" spans="6:9" hidden="1">
      <c r="F278" s="1030"/>
      <c r="G278" s="1030"/>
      <c r="H278" s="1030"/>
      <c r="I278" s="1030"/>
    </row>
    <row r="279" spans="6:9" hidden="1">
      <c r="F279" s="1030"/>
      <c r="G279" s="1030"/>
      <c r="H279" s="1030"/>
      <c r="I279" s="1030"/>
    </row>
    <row r="280" spans="6:9" hidden="1">
      <c r="F280" s="1030"/>
      <c r="G280" s="1030"/>
      <c r="H280" s="1030"/>
      <c r="I280" s="1030"/>
    </row>
    <row r="281" spans="6:9" hidden="1">
      <c r="F281" s="1030"/>
      <c r="G281" s="1030"/>
      <c r="H281" s="1030"/>
      <c r="I281" s="1030"/>
    </row>
    <row r="282" spans="6:9" hidden="1">
      <c r="F282" s="1030"/>
      <c r="G282" s="1030"/>
      <c r="H282" s="1030"/>
      <c r="I282" s="1030"/>
    </row>
    <row r="283" spans="6:9" hidden="1">
      <c r="F283" s="1030"/>
      <c r="G283" s="1030"/>
      <c r="H283" s="1030"/>
      <c r="I283" s="1030"/>
    </row>
    <row r="284" spans="6:9" hidden="1">
      <c r="F284" s="1030"/>
      <c r="G284" s="1030"/>
      <c r="H284" s="1030"/>
      <c r="I284" s="1030"/>
    </row>
    <row r="285" spans="6:9" hidden="1">
      <c r="F285" s="1030"/>
      <c r="G285" s="1030"/>
      <c r="H285" s="1030"/>
      <c r="I285" s="1030"/>
    </row>
    <row r="286" spans="6:9" hidden="1">
      <c r="F286" s="1030"/>
      <c r="G286" s="1030"/>
      <c r="H286" s="1030"/>
      <c r="I286" s="1030"/>
    </row>
    <row r="287" spans="6:9" hidden="1">
      <c r="F287" s="1030"/>
      <c r="G287" s="1030"/>
      <c r="H287" s="1030"/>
      <c r="I287" s="1030"/>
    </row>
    <row r="288" spans="6:9" hidden="1">
      <c r="F288" s="1030"/>
      <c r="G288" s="1030"/>
      <c r="H288" s="1030"/>
      <c r="I288" s="1030"/>
    </row>
    <row r="289" spans="6:9" hidden="1">
      <c r="F289" s="1030"/>
      <c r="G289" s="1030"/>
      <c r="H289" s="1030"/>
      <c r="I289" s="1030"/>
    </row>
    <row r="290" spans="6:9" hidden="1">
      <c r="F290" s="1030"/>
      <c r="G290" s="1030"/>
      <c r="H290" s="1030"/>
      <c r="I290" s="1030"/>
    </row>
    <row r="291" spans="6:9" hidden="1">
      <c r="F291" s="1030"/>
      <c r="G291" s="1030"/>
      <c r="H291" s="1030"/>
      <c r="I291" s="1030"/>
    </row>
    <row r="292" spans="6:9" hidden="1">
      <c r="F292" s="1030"/>
      <c r="G292" s="1030"/>
      <c r="H292" s="1030"/>
      <c r="I292" s="1030"/>
    </row>
    <row r="293" spans="6:9" hidden="1">
      <c r="F293" s="1030"/>
      <c r="G293" s="1030"/>
      <c r="H293" s="1030"/>
      <c r="I293" s="1030"/>
    </row>
    <row r="294" spans="6:9" hidden="1">
      <c r="F294" s="1030"/>
      <c r="G294" s="1030"/>
      <c r="H294" s="1030"/>
      <c r="I294" s="1030"/>
    </row>
    <row r="295" spans="6:9" hidden="1">
      <c r="F295" s="1030"/>
      <c r="G295" s="1030"/>
      <c r="H295" s="1030"/>
      <c r="I295" s="1030"/>
    </row>
    <row r="296" spans="6:9" hidden="1">
      <c r="F296" s="1030"/>
      <c r="G296" s="1030"/>
      <c r="H296" s="1030"/>
      <c r="I296" s="1030"/>
    </row>
    <row r="297" spans="6:9" hidden="1">
      <c r="F297" s="1030"/>
      <c r="G297" s="1030"/>
      <c r="H297" s="1030"/>
      <c r="I297" s="1030"/>
    </row>
    <row r="298" spans="6:9" hidden="1">
      <c r="F298" s="1030"/>
      <c r="G298" s="1030"/>
      <c r="H298" s="1030"/>
      <c r="I298" s="1030"/>
    </row>
    <row r="299" spans="6:9" hidden="1">
      <c r="F299" s="1030"/>
      <c r="G299" s="1030"/>
      <c r="H299" s="1030"/>
      <c r="I299" s="1030"/>
    </row>
    <row r="300" spans="6:9" hidden="1">
      <c r="F300" s="1030"/>
      <c r="G300" s="1030"/>
      <c r="H300" s="1030"/>
      <c r="I300" s="1030"/>
    </row>
    <row r="301" spans="6:9" hidden="1">
      <c r="F301" s="1030"/>
      <c r="G301" s="1030"/>
      <c r="H301" s="1030"/>
      <c r="I301" s="1030"/>
    </row>
    <row r="302" spans="6:9" hidden="1">
      <c r="F302" s="1030"/>
      <c r="G302" s="1030"/>
      <c r="H302" s="1030"/>
      <c r="I302" s="1030"/>
    </row>
    <row r="303" spans="6:9" hidden="1">
      <c r="F303" s="1030"/>
      <c r="G303" s="1030"/>
      <c r="H303" s="1030"/>
      <c r="I303" s="1030"/>
    </row>
    <row r="304" spans="6:9" hidden="1">
      <c r="F304" s="1030"/>
      <c r="G304" s="1030"/>
      <c r="H304" s="1030"/>
      <c r="I304" s="1030"/>
    </row>
    <row r="305" spans="6:9" hidden="1">
      <c r="F305" s="1030"/>
      <c r="G305" s="1030"/>
      <c r="H305" s="1030"/>
      <c r="I305" s="1030"/>
    </row>
    <row r="306" spans="6:9" hidden="1">
      <c r="F306" s="1030"/>
      <c r="G306" s="1030"/>
      <c r="H306" s="1030"/>
      <c r="I306" s="1030"/>
    </row>
    <row r="307" spans="6:9" hidden="1">
      <c r="F307" s="1030"/>
      <c r="G307" s="1030"/>
      <c r="H307" s="1030"/>
      <c r="I307" s="1030"/>
    </row>
    <row r="308" spans="6:9" hidden="1">
      <c r="F308" s="1030"/>
      <c r="G308" s="1030"/>
      <c r="H308" s="1030"/>
      <c r="I308" s="1030"/>
    </row>
    <row r="309" spans="6:9" hidden="1">
      <c r="F309" s="1030"/>
      <c r="G309" s="1030"/>
      <c r="H309" s="1030"/>
      <c r="I309" s="1030"/>
    </row>
    <row r="310" spans="6:9" hidden="1">
      <c r="F310" s="1030"/>
      <c r="G310" s="1030"/>
      <c r="H310" s="1030"/>
      <c r="I310" s="1030"/>
    </row>
    <row r="311" spans="6:9" hidden="1"/>
    <row r="312" spans="6:9" hidden="1">
      <c r="I312" s="992">
        <f>I146-I141</f>
        <v>-275575051.02999997</v>
      </c>
    </row>
    <row r="313" spans="6:9" hidden="1"/>
    <row r="314" spans="6:9" hidden="1"/>
    <row r="315" spans="6:9" hidden="1"/>
    <row r="316" spans="6:9" hidden="1"/>
    <row r="317" spans="6:9" hidden="1"/>
    <row r="318" spans="6:9" hidden="1"/>
    <row r="319" spans="6:9" hidden="1"/>
    <row r="320" spans="6:9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</sheetData>
  <autoFilter ref="K1:K310">
    <filterColumn colId="0">
      <customFilters and="1">
        <customFilter operator="greaterThan" val="0"/>
      </customFilters>
    </filterColumn>
  </autoFilter>
  <mergeCells count="43">
    <mergeCell ref="B133:B140"/>
    <mergeCell ref="C133:C140"/>
    <mergeCell ref="D133:D139"/>
    <mergeCell ref="A61:A95"/>
    <mergeCell ref="D61:D95"/>
    <mergeCell ref="C61:C95"/>
    <mergeCell ref="B61:B95"/>
    <mergeCell ref="A141:D141"/>
    <mergeCell ref="A121:A129"/>
    <mergeCell ref="B121:B129"/>
    <mergeCell ref="C121:C129"/>
    <mergeCell ref="D121:D129"/>
    <mergeCell ref="A96:A117"/>
    <mergeCell ref="B96:B117"/>
    <mergeCell ref="D96:D117"/>
    <mergeCell ref="C96:C117"/>
    <mergeCell ref="A133:A140"/>
    <mergeCell ref="H1:I1"/>
    <mergeCell ref="H2:I2"/>
    <mergeCell ref="H3:I3"/>
    <mergeCell ref="F4:I4"/>
    <mergeCell ref="A5:I5"/>
    <mergeCell ref="G7:G12"/>
    <mergeCell ref="I7:I12"/>
    <mergeCell ref="B7:B12"/>
    <mergeCell ref="C7:C12"/>
    <mergeCell ref="H7:H12"/>
    <mergeCell ref="A55:A59"/>
    <mergeCell ref="D28:D32"/>
    <mergeCell ref="C55:C59"/>
    <mergeCell ref="B28:B32"/>
    <mergeCell ref="C28:C32"/>
    <mergeCell ref="D55:D56"/>
    <mergeCell ref="A33:A54"/>
    <mergeCell ref="B33:B54"/>
    <mergeCell ref="C33:C54"/>
    <mergeCell ref="B55:B59"/>
    <mergeCell ref="D33:D54"/>
    <mergeCell ref="F7:F12"/>
    <mergeCell ref="D7:D12"/>
    <mergeCell ref="E7:E12"/>
    <mergeCell ref="A28:A32"/>
    <mergeCell ref="A7:A12"/>
  </mergeCells>
  <phoneticPr fontId="0" type="noConversion"/>
  <printOptions horizontalCentered="1"/>
  <pageMargins left="0.19685039370078741" right="0.19685039370078741" top="0.15748031496062992" bottom="0.15748031496062992" header="0.15748031496062992" footer="0.15748031496062992"/>
  <pageSetup paperSize="9" scale="5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 filterMode="1"/>
  <dimension ref="A1:IS387"/>
  <sheetViews>
    <sheetView showZeros="0" tabSelected="1" view="pageBreakPreview" zoomScale="80" zoomScaleNormal="75" zoomScaleSheetLayoutView="80" workbookViewId="0">
      <pane xSplit="5" ySplit="8" topLeftCell="F250" activePane="bottomRight" state="frozen"/>
      <selection pane="topRight" activeCell="D1" sqref="D1"/>
      <selection pane="bottomLeft" activeCell="A10" sqref="A10"/>
      <selection pane="bottomRight" activeCell="A377" sqref="A377:IV382"/>
    </sheetView>
  </sheetViews>
  <sheetFormatPr defaultColWidth="8.85546875" defaultRowHeight="12.75"/>
  <cols>
    <col min="1" max="1" width="13" style="10" customWidth="1"/>
    <col min="2" max="3" width="9.7109375" style="10" customWidth="1"/>
    <col min="4" max="4" width="42.28515625" style="10" customWidth="1"/>
    <col min="5" max="5" width="51.85546875" style="10" customWidth="1"/>
    <col min="6" max="6" width="24" style="10" customWidth="1"/>
    <col min="7" max="7" width="21.7109375" style="10" customWidth="1"/>
    <col min="8" max="8" width="27.42578125" style="10" customWidth="1"/>
    <col min="9" max="9" width="19" style="10" hidden="1" customWidth="1"/>
    <col min="10" max="10" width="13.5703125" style="10" hidden="1" customWidth="1"/>
    <col min="11" max="11" width="20" style="10" hidden="1" customWidth="1"/>
    <col min="12" max="12" width="13.140625" style="10" hidden="1" customWidth="1"/>
    <col min="13" max="13" width="10.5703125" style="10" hidden="1" customWidth="1"/>
    <col min="14" max="16" width="0" style="10" hidden="1" customWidth="1"/>
    <col min="17" max="16384" width="8.85546875" style="10"/>
  </cols>
  <sheetData>
    <row r="1" spans="1:13" ht="16.5">
      <c r="A1" s="12"/>
      <c r="B1" s="12"/>
      <c r="C1" s="12"/>
      <c r="D1" s="12"/>
      <c r="E1" s="12"/>
      <c r="F1" s="12"/>
      <c r="G1" s="68" t="s">
        <v>387</v>
      </c>
      <c r="H1" s="68"/>
      <c r="I1" s="10">
        <v>1</v>
      </c>
    </row>
    <row r="2" spans="1:13" ht="16.5" customHeight="1">
      <c r="A2" s="12"/>
      <c r="B2" s="12"/>
      <c r="C2" s="12"/>
      <c r="D2" s="12"/>
      <c r="E2" s="12"/>
      <c r="F2" s="12"/>
      <c r="G2" s="68" t="s">
        <v>476</v>
      </c>
      <c r="H2" s="68"/>
      <c r="I2" s="10">
        <v>1</v>
      </c>
    </row>
    <row r="3" spans="1:13" ht="16.5" customHeight="1">
      <c r="A3" s="12"/>
      <c r="B3" s="12"/>
      <c r="C3" s="12"/>
      <c r="D3" s="12"/>
      <c r="E3" s="12"/>
      <c r="F3" s="12"/>
      <c r="G3" s="68" t="s">
        <v>3247</v>
      </c>
      <c r="H3" s="68"/>
      <c r="I3" s="10">
        <v>1</v>
      </c>
    </row>
    <row r="4" spans="1:13" ht="6" customHeight="1">
      <c r="A4" s="12"/>
      <c r="B4" s="12"/>
      <c r="C4" s="12"/>
      <c r="D4" s="12"/>
      <c r="E4" s="12"/>
      <c r="F4" s="1223"/>
      <c r="G4" s="1223"/>
      <c r="H4" s="1223"/>
      <c r="I4" s="10">
        <v>1</v>
      </c>
    </row>
    <row r="5" spans="1:13" ht="33" customHeight="1">
      <c r="A5" s="1224" t="s">
        <v>1616</v>
      </c>
      <c r="B5" s="1224"/>
      <c r="C5" s="1224"/>
      <c r="D5" s="1224"/>
      <c r="E5" s="1224"/>
      <c r="F5" s="1224"/>
      <c r="G5" s="1224"/>
      <c r="H5" s="1224"/>
      <c r="I5" s="10">
        <v>1</v>
      </c>
    </row>
    <row r="6" spans="1:13" ht="16.5" customHeight="1">
      <c r="A6" s="12"/>
      <c r="B6" s="12"/>
      <c r="C6" s="12"/>
      <c r="D6" s="12"/>
      <c r="E6" s="12"/>
      <c r="F6" s="12"/>
      <c r="G6" s="12"/>
      <c r="H6" s="61" t="s">
        <v>380</v>
      </c>
      <c r="I6" s="10">
        <v>1</v>
      </c>
    </row>
    <row r="7" spans="1:13" ht="72.95" customHeight="1">
      <c r="A7" s="1210" t="s">
        <v>5</v>
      </c>
      <c r="B7" s="1210" t="s">
        <v>305</v>
      </c>
      <c r="C7" s="1210" t="s">
        <v>6</v>
      </c>
      <c r="D7" s="1212" t="s">
        <v>306</v>
      </c>
      <c r="E7" s="1225" t="s">
        <v>144</v>
      </c>
      <c r="F7" s="1226" t="s">
        <v>81</v>
      </c>
      <c r="G7" s="1226" t="s">
        <v>82</v>
      </c>
      <c r="H7" s="1226" t="s">
        <v>145</v>
      </c>
      <c r="I7" s="10">
        <v>1</v>
      </c>
    </row>
    <row r="8" spans="1:13" ht="60.95" customHeight="1">
      <c r="A8" s="1211"/>
      <c r="B8" s="1211"/>
      <c r="C8" s="1211"/>
      <c r="D8" s="1213"/>
      <c r="E8" s="1225"/>
      <c r="F8" s="1226"/>
      <c r="G8" s="1226"/>
      <c r="H8" s="1226"/>
      <c r="I8" s="58">
        <v>1</v>
      </c>
    </row>
    <row r="9" spans="1:13" ht="18.600000000000001" customHeight="1">
      <c r="A9" s="158" t="s">
        <v>487</v>
      </c>
      <c r="B9" s="158" t="s">
        <v>488</v>
      </c>
      <c r="C9" s="158" t="s">
        <v>489</v>
      </c>
      <c r="D9" s="34">
        <v>4</v>
      </c>
      <c r="E9" s="59">
        <v>5</v>
      </c>
      <c r="F9" s="59">
        <v>6</v>
      </c>
      <c r="G9" s="59">
        <v>7</v>
      </c>
      <c r="H9" s="59">
        <v>8</v>
      </c>
      <c r="I9" s="62">
        <v>1</v>
      </c>
    </row>
    <row r="10" spans="1:13" ht="15.75">
      <c r="A10" s="166" t="s">
        <v>106</v>
      </c>
      <c r="B10" s="166"/>
      <c r="C10" s="166"/>
      <c r="D10" s="167" t="s">
        <v>70</v>
      </c>
      <c r="E10" s="198"/>
      <c r="F10" s="168">
        <f>SUM(F12:F23)-F18-F14</f>
        <v>31476772</v>
      </c>
      <c r="G10" s="168">
        <f>SUM(G12:G23)-G18-G14</f>
        <v>17660655.949999999</v>
      </c>
      <c r="H10" s="168">
        <f>F10+G10</f>
        <v>49137427.950000003</v>
      </c>
      <c r="I10" s="62">
        <f>SUM(F10:H10)</f>
        <v>98274855.900000006</v>
      </c>
      <c r="K10" s="62">
        <f>H10-G10-F10</f>
        <v>0</v>
      </c>
    </row>
    <row r="11" spans="1:13" s="231" customFormat="1" ht="15.75">
      <c r="A11" s="166" t="s">
        <v>107</v>
      </c>
      <c r="B11" s="166"/>
      <c r="C11" s="166"/>
      <c r="D11" s="167" t="s">
        <v>70</v>
      </c>
      <c r="E11" s="198"/>
      <c r="F11" s="168">
        <f>F12+F15+F19+F20+F13+F23+F17+F16+F21+F22</f>
        <v>31476772</v>
      </c>
      <c r="G11" s="168">
        <f>G12+G15+G19+G20+G13+G23+G17+G16+G21+G22</f>
        <v>17660655.949999999</v>
      </c>
      <c r="H11" s="168">
        <f>H12+H15+H19+H20+H13+H23+H17+H16+H21+H22</f>
        <v>49137427.950000003</v>
      </c>
      <c r="I11" s="62">
        <f t="shared" ref="I11:I74" si="0">SUM(F11:H11)</f>
        <v>98274855.900000006</v>
      </c>
    </row>
    <row r="12" spans="1:13" ht="78.75">
      <c r="A12" s="160" t="s">
        <v>495</v>
      </c>
      <c r="B12" s="160" t="s">
        <v>496</v>
      </c>
      <c r="C12" s="160" t="s">
        <v>7</v>
      </c>
      <c r="D12" s="147" t="s">
        <v>274</v>
      </c>
      <c r="E12" s="276" t="s">
        <v>1037</v>
      </c>
      <c r="F12" s="31">
        <f>2056900-190000</f>
        <v>1866900</v>
      </c>
      <c r="G12" s="315">
        <v>190000</v>
      </c>
      <c r="H12" s="31">
        <f t="shared" ref="H12:H78" si="1">F12+G12</f>
        <v>2056900</v>
      </c>
      <c r="I12" s="62">
        <f t="shared" si="0"/>
        <v>4113800</v>
      </c>
    </row>
    <row r="13" spans="1:13" ht="63.6" customHeight="1">
      <c r="A13" s="27" t="s">
        <v>512</v>
      </c>
      <c r="B13" s="27" t="s">
        <v>10</v>
      </c>
      <c r="C13" s="27" t="s">
        <v>13</v>
      </c>
      <c r="D13" s="19" t="s">
        <v>513</v>
      </c>
      <c r="E13" s="276" t="s">
        <v>1037</v>
      </c>
      <c r="F13" s="31">
        <v>10000</v>
      </c>
      <c r="G13" s="31"/>
      <c r="H13" s="31">
        <f t="shared" si="1"/>
        <v>10000</v>
      </c>
      <c r="I13" s="62">
        <f t="shared" si="0"/>
        <v>20000</v>
      </c>
    </row>
    <row r="14" spans="1:13" ht="25.5">
      <c r="A14" s="165" t="s">
        <v>500</v>
      </c>
      <c r="B14" s="165">
        <v>3240</v>
      </c>
      <c r="C14" s="165"/>
      <c r="D14" s="162" t="s">
        <v>497</v>
      </c>
      <c r="E14" s="202"/>
      <c r="F14" s="163">
        <f>F15</f>
        <v>9751093</v>
      </c>
      <c r="G14" s="163">
        <f>G15</f>
        <v>0</v>
      </c>
      <c r="H14" s="163">
        <f t="shared" si="1"/>
        <v>9751093</v>
      </c>
      <c r="I14" s="62">
        <f t="shared" si="0"/>
        <v>19502186</v>
      </c>
      <c r="J14" s="1214"/>
      <c r="K14" s="1214"/>
    </row>
    <row r="15" spans="1:13" ht="60.6" customHeight="1">
      <c r="A15" s="179" t="s">
        <v>499</v>
      </c>
      <c r="B15" s="179">
        <v>3242</v>
      </c>
      <c r="C15" s="179">
        <v>1090</v>
      </c>
      <c r="D15" s="29" t="s">
        <v>498</v>
      </c>
      <c r="E15" s="276" t="s">
        <v>1037</v>
      </c>
      <c r="F15" s="32">
        <v>9751093</v>
      </c>
      <c r="G15" s="32"/>
      <c r="H15" s="32">
        <f t="shared" si="1"/>
        <v>9751093</v>
      </c>
      <c r="I15" s="62">
        <f t="shared" si="0"/>
        <v>19502186</v>
      </c>
      <c r="J15" s="229"/>
      <c r="K15" s="229"/>
      <c r="L15" s="62"/>
      <c r="M15" s="62"/>
    </row>
    <row r="16" spans="1:13" ht="69.599999999999994" customHeight="1">
      <c r="A16" s="27" t="s">
        <v>897</v>
      </c>
      <c r="B16" s="27" t="s">
        <v>898</v>
      </c>
      <c r="C16" s="27" t="s">
        <v>899</v>
      </c>
      <c r="D16" s="26" t="s">
        <v>900</v>
      </c>
      <c r="E16" s="25" t="s">
        <v>989</v>
      </c>
      <c r="F16" s="31">
        <v>712700</v>
      </c>
      <c r="G16" s="31"/>
      <c r="H16" s="31">
        <f t="shared" si="1"/>
        <v>712700</v>
      </c>
      <c r="I16" s="62">
        <f t="shared" si="0"/>
        <v>1425400</v>
      </c>
    </row>
    <row r="17" spans="1:14" ht="31.5" hidden="1">
      <c r="A17" s="27" t="s">
        <v>502</v>
      </c>
      <c r="B17" s="27" t="s">
        <v>501</v>
      </c>
      <c r="C17" s="27" t="s">
        <v>358</v>
      </c>
      <c r="D17" s="26" t="s">
        <v>503</v>
      </c>
      <c r="E17" s="199"/>
      <c r="F17" s="31"/>
      <c r="G17" s="31"/>
      <c r="H17" s="31">
        <f t="shared" si="1"/>
        <v>0</v>
      </c>
      <c r="I17" s="62">
        <f t="shared" si="0"/>
        <v>0</v>
      </c>
    </row>
    <row r="18" spans="1:14" ht="86.25" hidden="1" customHeight="1">
      <c r="A18" s="165" t="s">
        <v>504</v>
      </c>
      <c r="B18" s="165" t="s">
        <v>506</v>
      </c>
      <c r="C18" s="165"/>
      <c r="D18" s="162" t="s">
        <v>508</v>
      </c>
      <c r="E18" s="163"/>
      <c r="F18" s="163">
        <f>F19</f>
        <v>0</v>
      </c>
      <c r="G18" s="163">
        <f>G19</f>
        <v>0</v>
      </c>
      <c r="H18" s="163">
        <f t="shared" si="1"/>
        <v>0</v>
      </c>
      <c r="I18" s="62">
        <f t="shared" si="0"/>
        <v>0</v>
      </c>
    </row>
    <row r="19" spans="1:14" ht="31.5" hidden="1">
      <c r="A19" s="179" t="s">
        <v>505</v>
      </c>
      <c r="B19" s="179" t="s">
        <v>507</v>
      </c>
      <c r="C19" s="179" t="s">
        <v>9</v>
      </c>
      <c r="D19" s="29" t="s">
        <v>114</v>
      </c>
      <c r="E19" s="32"/>
      <c r="F19" s="32"/>
      <c r="G19" s="32"/>
      <c r="H19" s="32">
        <f t="shared" si="1"/>
        <v>0</v>
      </c>
      <c r="I19" s="62">
        <f t="shared" si="0"/>
        <v>0</v>
      </c>
    </row>
    <row r="20" spans="1:14" s="355" customFormat="1" ht="75" hidden="1">
      <c r="A20" s="1193" t="s">
        <v>514</v>
      </c>
      <c r="B20" s="1193" t="s">
        <v>515</v>
      </c>
      <c r="C20" s="1193" t="s">
        <v>10</v>
      </c>
      <c r="D20" s="1195" t="s">
        <v>516</v>
      </c>
      <c r="E20" s="277" t="s">
        <v>1039</v>
      </c>
      <c r="F20" s="315"/>
      <c r="G20" s="31">
        <f>500000-260000-240000</f>
        <v>0</v>
      </c>
      <c r="H20" s="31">
        <f t="shared" si="1"/>
        <v>0</v>
      </c>
      <c r="I20" s="62">
        <f t="shared" si="0"/>
        <v>0</v>
      </c>
      <c r="K20" s="354">
        <f t="shared" ref="K20:K25" si="2">H20-G20-F20</f>
        <v>0</v>
      </c>
    </row>
    <row r="21" spans="1:14" s="355" customFormat="1" ht="54.75" customHeight="1">
      <c r="A21" s="1215"/>
      <c r="B21" s="1215"/>
      <c r="C21" s="1215"/>
      <c r="D21" s="1216"/>
      <c r="E21" s="271" t="s">
        <v>1038</v>
      </c>
      <c r="F21" s="315"/>
      <c r="G21" s="35">
        <f>808400+337800.95</f>
        <v>1146200.95</v>
      </c>
      <c r="H21" s="35">
        <f t="shared" si="1"/>
        <v>1146200.95</v>
      </c>
      <c r="I21" s="62">
        <f t="shared" si="0"/>
        <v>2292401.9</v>
      </c>
      <c r="K21" s="393" t="s">
        <v>2516</v>
      </c>
      <c r="L21" s="394">
        <f>G21+G20+G22</f>
        <v>17192089.949999999</v>
      </c>
    </row>
    <row r="22" spans="1:14" s="355" customFormat="1" ht="69.75" customHeight="1">
      <c r="A22" s="1194"/>
      <c r="B22" s="1194"/>
      <c r="C22" s="1194"/>
      <c r="D22" s="1196"/>
      <c r="E22" s="356" t="s">
        <v>1037</v>
      </c>
      <c r="F22" s="31">
        <f>6019884+753483+23140+4867645-5000+1017261-13390+4193535+151871+267947+462000+219001+118396</f>
        <v>18075773</v>
      </c>
      <c r="G22" s="31">
        <f>450000+5488298+756214-23140+5266929+5000+882232-57888+3767279+171309-267947-462000+187999-118396</f>
        <v>16045889</v>
      </c>
      <c r="H22" s="31">
        <f t="shared" si="1"/>
        <v>34121662</v>
      </c>
      <c r="I22" s="62">
        <f t="shared" si="0"/>
        <v>68243324</v>
      </c>
      <c r="K22" s="393">
        <f>F22-дод3!E25</f>
        <v>0</v>
      </c>
      <c r="L22" s="394">
        <f>G22-дод3!J25</f>
        <v>-1146200.9499999993</v>
      </c>
    </row>
    <row r="23" spans="1:14" s="355" customFormat="1" ht="69.75" customHeight="1">
      <c r="A23" s="27" t="s">
        <v>509</v>
      </c>
      <c r="B23" s="27" t="s">
        <v>510</v>
      </c>
      <c r="C23" s="27" t="s">
        <v>10</v>
      </c>
      <c r="D23" s="19" t="s">
        <v>511</v>
      </c>
      <c r="E23" s="356" t="s">
        <v>1674</v>
      </c>
      <c r="F23" s="31">
        <f>212778+94000+386759+5000+51063+243541+40000+27165</f>
        <v>1060306</v>
      </c>
      <c r="G23" s="31">
        <f>153742+125000-51063+43000+7887</f>
        <v>278566</v>
      </c>
      <c r="H23" s="31">
        <f t="shared" si="1"/>
        <v>1338872</v>
      </c>
      <c r="I23" s="62">
        <f t="shared" si="0"/>
        <v>2677744</v>
      </c>
      <c r="K23" s="412" t="b">
        <f>F23=дод3!E26</f>
        <v>1</v>
      </c>
      <c r="L23" s="412" t="b">
        <f>G23=дод3!J26</f>
        <v>1</v>
      </c>
      <c r="M23" s="412" t="b">
        <f>F23=дод5.2!D8</f>
        <v>1</v>
      </c>
      <c r="N23" s="412" t="b">
        <f>G23=дод5.2!E8</f>
        <v>1</v>
      </c>
    </row>
    <row r="24" spans="1:14" s="355" customFormat="1" ht="32.25" customHeight="1">
      <c r="A24" s="170" t="s">
        <v>518</v>
      </c>
      <c r="B24" s="170"/>
      <c r="C24" s="170"/>
      <c r="D24" s="171" t="s">
        <v>71</v>
      </c>
      <c r="E24" s="195"/>
      <c r="F24" s="316">
        <f>SUM(F26:F30)</f>
        <v>2189745</v>
      </c>
      <c r="G24" s="316">
        <f>SUM(G26:G30)</f>
        <v>560655</v>
      </c>
      <c r="H24" s="316">
        <f>SUM(H26:H30)</f>
        <v>2750400</v>
      </c>
      <c r="I24" s="62">
        <f t="shared" si="0"/>
        <v>5500800</v>
      </c>
      <c r="K24" s="354">
        <f t="shared" si="2"/>
        <v>0</v>
      </c>
      <c r="L24" s="354">
        <f>G23-дод3!J26</f>
        <v>0</v>
      </c>
    </row>
    <row r="25" spans="1:14" s="355" customFormat="1" ht="31.5">
      <c r="A25" s="170" t="s">
        <v>519</v>
      </c>
      <c r="B25" s="170"/>
      <c r="C25" s="170"/>
      <c r="D25" s="171" t="s">
        <v>71</v>
      </c>
      <c r="E25" s="195"/>
      <c r="F25" s="316">
        <f>F26+F27+F29+F28+F30</f>
        <v>2189745</v>
      </c>
      <c r="G25" s="316">
        <f>G26+G27+G29+G28+G30</f>
        <v>560655</v>
      </c>
      <c r="H25" s="316">
        <f>H26+H27+H29+H28+H30</f>
        <v>2750400</v>
      </c>
      <c r="I25" s="62">
        <f t="shared" si="0"/>
        <v>5500800</v>
      </c>
      <c r="K25" s="354">
        <f t="shared" si="2"/>
        <v>0</v>
      </c>
    </row>
    <row r="26" spans="1:14" ht="31.5" hidden="1">
      <c r="A26" s="27" t="s">
        <v>520</v>
      </c>
      <c r="B26" s="27" t="s">
        <v>11</v>
      </c>
      <c r="C26" s="27" t="s">
        <v>12</v>
      </c>
      <c r="D26" s="147" t="s">
        <v>517</v>
      </c>
      <c r="E26" s="199"/>
      <c r="F26" s="31"/>
      <c r="G26" s="31"/>
      <c r="H26" s="31">
        <f t="shared" si="1"/>
        <v>0</v>
      </c>
      <c r="I26" s="62">
        <f t="shared" si="0"/>
        <v>0</v>
      </c>
    </row>
    <row r="27" spans="1:14" s="355" customFormat="1" ht="74.25" customHeight="1">
      <c r="A27" s="1207" t="s">
        <v>521</v>
      </c>
      <c r="B27" s="1205" t="s">
        <v>10</v>
      </c>
      <c r="C27" s="1205" t="s">
        <v>13</v>
      </c>
      <c r="D27" s="1205" t="s">
        <v>513</v>
      </c>
      <c r="E27" s="392" t="s">
        <v>990</v>
      </c>
      <c r="F27" s="31">
        <v>388400</v>
      </c>
      <c r="G27" s="31">
        <v>20000</v>
      </c>
      <c r="H27" s="31">
        <f t="shared" si="1"/>
        <v>408400</v>
      </c>
      <c r="I27" s="62">
        <f t="shared" si="0"/>
        <v>816800</v>
      </c>
      <c r="K27" s="354">
        <f t="shared" ref="K27:K33" si="3">H27-G27-F27</f>
        <v>0</v>
      </c>
    </row>
    <row r="28" spans="1:14" s="355" customFormat="1" ht="56.45" customHeight="1">
      <c r="A28" s="1208"/>
      <c r="B28" s="1209"/>
      <c r="C28" s="1209"/>
      <c r="D28" s="1209"/>
      <c r="E28" s="392" t="s">
        <v>991</v>
      </c>
      <c r="F28" s="31">
        <f>522400-18000</f>
        <v>504400</v>
      </c>
      <c r="G28" s="31">
        <f>294600+18000</f>
        <v>312600</v>
      </c>
      <c r="H28" s="31">
        <f t="shared" si="1"/>
        <v>817000</v>
      </c>
      <c r="I28" s="62">
        <f t="shared" si="0"/>
        <v>1634000</v>
      </c>
      <c r="K28" s="354">
        <f t="shared" si="3"/>
        <v>0</v>
      </c>
    </row>
    <row r="29" spans="1:14" s="355" customFormat="1" ht="75">
      <c r="A29" s="1193" t="s">
        <v>522</v>
      </c>
      <c r="B29" s="1193" t="s">
        <v>510</v>
      </c>
      <c r="C29" s="1193" t="s">
        <v>10</v>
      </c>
      <c r="D29" s="1205" t="s">
        <v>511</v>
      </c>
      <c r="E29" s="278" t="s">
        <v>1666</v>
      </c>
      <c r="F29" s="31">
        <f>963500-122257</f>
        <v>841243</v>
      </c>
      <c r="G29" s="31">
        <f>36500+122257</f>
        <v>158757</v>
      </c>
      <c r="H29" s="31">
        <f t="shared" si="1"/>
        <v>1000000</v>
      </c>
      <c r="I29" s="62">
        <f t="shared" si="0"/>
        <v>2000000</v>
      </c>
      <c r="K29" s="354">
        <f t="shared" si="3"/>
        <v>0</v>
      </c>
    </row>
    <row r="30" spans="1:14" s="355" customFormat="1" ht="75">
      <c r="A30" s="1194"/>
      <c r="B30" s="1194"/>
      <c r="C30" s="1194"/>
      <c r="D30" s="1206"/>
      <c r="E30" s="278" t="s">
        <v>1752</v>
      </c>
      <c r="F30" s="31">
        <f>330702+125000</f>
        <v>455702</v>
      </c>
      <c r="G30" s="31">
        <v>69298</v>
      </c>
      <c r="H30" s="31">
        <f t="shared" si="1"/>
        <v>525000</v>
      </c>
      <c r="I30" s="62">
        <f t="shared" si="0"/>
        <v>1050000</v>
      </c>
      <c r="K30" s="354">
        <f t="shared" si="3"/>
        <v>0</v>
      </c>
    </row>
    <row r="31" spans="1:14" s="355" customFormat="1" ht="47.25">
      <c r="A31" s="170" t="s">
        <v>523</v>
      </c>
      <c r="B31" s="170"/>
      <c r="C31" s="170"/>
      <c r="D31" s="171" t="s">
        <v>62</v>
      </c>
      <c r="E31" s="204"/>
      <c r="F31" s="317">
        <f>+F33+F34+F35+F36+F37+F39+F40+F41+F43+F44+F46+F38+F49+F48+F50+F47</f>
        <v>4814783</v>
      </c>
      <c r="G31" s="317">
        <f>+G33+G34+G35+G36+G37+G39+G40+G41+G43+G44+G46+G38+G49+G48+G50+G47</f>
        <v>2700000</v>
      </c>
      <c r="H31" s="317">
        <f t="shared" si="1"/>
        <v>7514783</v>
      </c>
      <c r="I31" s="62">
        <f t="shared" si="0"/>
        <v>15029566</v>
      </c>
      <c r="K31" s="354">
        <f t="shared" si="3"/>
        <v>0</v>
      </c>
    </row>
    <row r="32" spans="1:14" s="355" customFormat="1" ht="47.25">
      <c r="A32" s="170" t="s">
        <v>524</v>
      </c>
      <c r="B32" s="170"/>
      <c r="C32" s="170"/>
      <c r="D32" s="171" t="s">
        <v>62</v>
      </c>
      <c r="E32" s="204"/>
      <c r="F32" s="317">
        <f>F33+F34+F35+F36+F37+F38+F39+F40+F41+F42+F45+F49+F48+F50+F47</f>
        <v>4814783</v>
      </c>
      <c r="G32" s="317">
        <f>G33+G34+G35+G36+G37+G38+G39+G40+G41+G42+G45+G49+G48+G50+G47</f>
        <v>2700000</v>
      </c>
      <c r="H32" s="317">
        <f>H33+H34+H35+H36+H37+H38+H39+H40+H41+H42+H45+H49+H48+H50+H47</f>
        <v>7514783</v>
      </c>
      <c r="I32" s="62">
        <f t="shared" si="0"/>
        <v>15029566</v>
      </c>
      <c r="K32" s="354">
        <f t="shared" si="3"/>
        <v>0</v>
      </c>
    </row>
    <row r="33" spans="1:11" s="355" customFormat="1" ht="63">
      <c r="A33" s="27" t="s">
        <v>525</v>
      </c>
      <c r="B33" s="27" t="s">
        <v>14</v>
      </c>
      <c r="C33" s="27" t="s">
        <v>15</v>
      </c>
      <c r="D33" s="26" t="s">
        <v>336</v>
      </c>
      <c r="E33" s="207" t="s">
        <v>992</v>
      </c>
      <c r="F33" s="31">
        <v>969800</v>
      </c>
      <c r="G33" s="35"/>
      <c r="H33" s="35">
        <f t="shared" si="1"/>
        <v>969800</v>
      </c>
      <c r="I33" s="62">
        <f t="shared" si="0"/>
        <v>1939600</v>
      </c>
      <c r="K33" s="354">
        <f t="shared" si="3"/>
        <v>0</v>
      </c>
    </row>
    <row r="34" spans="1:11" ht="31.15" hidden="1" customHeight="1">
      <c r="A34" s="27" t="s">
        <v>526</v>
      </c>
      <c r="B34" s="27" t="s">
        <v>16</v>
      </c>
      <c r="C34" s="27" t="s">
        <v>15</v>
      </c>
      <c r="D34" s="26" t="s">
        <v>17</v>
      </c>
      <c r="E34" s="35"/>
      <c r="F34" s="35"/>
      <c r="G34" s="35"/>
      <c r="H34" s="35">
        <f t="shared" si="1"/>
        <v>0</v>
      </c>
      <c r="I34" s="62">
        <f t="shared" si="0"/>
        <v>0</v>
      </c>
    </row>
    <row r="35" spans="1:11" s="355" customFormat="1" ht="106.5" customHeight="1">
      <c r="A35" s="27" t="s">
        <v>527</v>
      </c>
      <c r="B35" s="27" t="s">
        <v>18</v>
      </c>
      <c r="C35" s="27" t="s">
        <v>15</v>
      </c>
      <c r="D35" s="26" t="s">
        <v>19</v>
      </c>
      <c r="E35" s="207" t="s">
        <v>992</v>
      </c>
      <c r="F35" s="31">
        <v>1318550</v>
      </c>
      <c r="G35" s="35"/>
      <c r="H35" s="35">
        <f t="shared" si="1"/>
        <v>1318550</v>
      </c>
      <c r="I35" s="62">
        <f t="shared" si="0"/>
        <v>2637100</v>
      </c>
      <c r="K35" s="354">
        <f>H35-G35-F35</f>
        <v>0</v>
      </c>
    </row>
    <row r="36" spans="1:11" ht="141.75">
      <c r="A36" s="27" t="s">
        <v>528</v>
      </c>
      <c r="B36" s="27" t="s">
        <v>20</v>
      </c>
      <c r="C36" s="27" t="s">
        <v>15</v>
      </c>
      <c r="D36" s="26" t="s">
        <v>464</v>
      </c>
      <c r="E36" s="206" t="s">
        <v>993</v>
      </c>
      <c r="F36" s="31">
        <v>205793</v>
      </c>
      <c r="G36" s="31"/>
      <c r="H36" s="31">
        <f t="shared" si="1"/>
        <v>205793</v>
      </c>
      <c r="I36" s="62">
        <f t="shared" si="0"/>
        <v>411586</v>
      </c>
    </row>
    <row r="37" spans="1:11" ht="31.15" hidden="1" customHeight="1">
      <c r="A37" s="27" t="s">
        <v>529</v>
      </c>
      <c r="B37" s="27" t="s">
        <v>8</v>
      </c>
      <c r="C37" s="27" t="s">
        <v>21</v>
      </c>
      <c r="D37" s="26" t="s">
        <v>277</v>
      </c>
      <c r="E37" s="199"/>
      <c r="F37" s="31"/>
      <c r="G37" s="31"/>
      <c r="H37" s="31">
        <f t="shared" si="1"/>
        <v>0</v>
      </c>
      <c r="I37" s="62">
        <f t="shared" si="0"/>
        <v>0</v>
      </c>
    </row>
    <row r="38" spans="1:11" ht="31.15" hidden="1" customHeight="1">
      <c r="A38" s="27" t="s">
        <v>534</v>
      </c>
      <c r="B38" s="27" t="s">
        <v>535</v>
      </c>
      <c r="C38" s="27" t="s">
        <v>22</v>
      </c>
      <c r="D38" s="26" t="s">
        <v>412</v>
      </c>
      <c r="E38" s="199"/>
      <c r="F38" s="31"/>
      <c r="G38" s="31"/>
      <c r="H38" s="31">
        <f t="shared" si="1"/>
        <v>0</v>
      </c>
      <c r="I38" s="62">
        <f t="shared" si="0"/>
        <v>0</v>
      </c>
    </row>
    <row r="39" spans="1:11" ht="65.45" hidden="1" customHeight="1">
      <c r="A39" s="27" t="s">
        <v>530</v>
      </c>
      <c r="B39" s="27" t="s">
        <v>23</v>
      </c>
      <c r="C39" s="27" t="s">
        <v>24</v>
      </c>
      <c r="D39" s="26" t="s">
        <v>536</v>
      </c>
      <c r="E39" s="199"/>
      <c r="F39" s="31"/>
      <c r="G39" s="31"/>
      <c r="H39" s="31">
        <f t="shared" si="1"/>
        <v>0</v>
      </c>
      <c r="I39" s="62">
        <f t="shared" si="0"/>
        <v>0</v>
      </c>
    </row>
    <row r="40" spans="1:11" ht="31.15" hidden="1" customHeight="1">
      <c r="A40" s="27" t="s">
        <v>531</v>
      </c>
      <c r="B40" s="27" t="s">
        <v>11</v>
      </c>
      <c r="C40" s="27" t="s">
        <v>12</v>
      </c>
      <c r="D40" s="26" t="s">
        <v>517</v>
      </c>
      <c r="E40" s="199"/>
      <c r="F40" s="31"/>
      <c r="G40" s="31"/>
      <c r="H40" s="31">
        <f t="shared" si="1"/>
        <v>0</v>
      </c>
      <c r="I40" s="62">
        <f t="shared" si="0"/>
        <v>0</v>
      </c>
    </row>
    <row r="41" spans="1:11" ht="42" hidden="1" customHeight="1">
      <c r="A41" s="27" t="s">
        <v>537</v>
      </c>
      <c r="B41" s="27" t="s">
        <v>89</v>
      </c>
      <c r="C41" s="27" t="s">
        <v>371</v>
      </c>
      <c r="D41" s="26" t="s">
        <v>538</v>
      </c>
      <c r="E41" s="199"/>
      <c r="F41" s="31"/>
      <c r="G41" s="31"/>
      <c r="H41" s="31">
        <f t="shared" si="1"/>
        <v>0</v>
      </c>
      <c r="I41" s="62">
        <f t="shared" si="0"/>
        <v>0</v>
      </c>
    </row>
    <row r="42" spans="1:11" s="186" customFormat="1" ht="54" hidden="1" customHeight="1">
      <c r="A42" s="165" t="s">
        <v>539</v>
      </c>
      <c r="B42" s="165" t="s">
        <v>540</v>
      </c>
      <c r="C42" s="165"/>
      <c r="D42" s="162" t="s">
        <v>543</v>
      </c>
      <c r="E42" s="202"/>
      <c r="F42" s="163">
        <f>SUM(F43:F44)</f>
        <v>0</v>
      </c>
      <c r="G42" s="163">
        <f>SUM(G43:G44)</f>
        <v>0</v>
      </c>
      <c r="H42" s="163">
        <f t="shared" si="1"/>
        <v>0</v>
      </c>
      <c r="I42" s="62">
        <f t="shared" si="0"/>
        <v>0</v>
      </c>
    </row>
    <row r="43" spans="1:11" ht="109.5" hidden="1" customHeight="1">
      <c r="A43" s="179" t="s">
        <v>541</v>
      </c>
      <c r="B43" s="179" t="s">
        <v>542</v>
      </c>
      <c r="C43" s="179" t="s">
        <v>371</v>
      </c>
      <c r="D43" s="29" t="s">
        <v>544</v>
      </c>
      <c r="E43" s="199"/>
      <c r="F43" s="31"/>
      <c r="G43" s="31"/>
      <c r="H43" s="31">
        <f t="shared" si="1"/>
        <v>0</v>
      </c>
      <c r="I43" s="62">
        <f t="shared" si="0"/>
        <v>0</v>
      </c>
    </row>
    <row r="44" spans="1:11" s="38" customFormat="1" ht="42" hidden="1" customHeight="1">
      <c r="A44" s="179" t="s">
        <v>545</v>
      </c>
      <c r="B44" s="179" t="s">
        <v>546</v>
      </c>
      <c r="C44" s="179" t="s">
        <v>371</v>
      </c>
      <c r="D44" s="29" t="s">
        <v>547</v>
      </c>
      <c r="E44" s="31"/>
      <c r="F44" s="31"/>
      <c r="G44" s="31"/>
      <c r="H44" s="31">
        <f t="shared" si="1"/>
        <v>0</v>
      </c>
      <c r="I44" s="62">
        <f t="shared" si="0"/>
        <v>0</v>
      </c>
    </row>
    <row r="45" spans="1:11" s="355" customFormat="1" ht="42" customHeight="1">
      <c r="A45" s="165" t="s">
        <v>532</v>
      </c>
      <c r="B45" s="165" t="s">
        <v>434</v>
      </c>
      <c r="C45" s="165"/>
      <c r="D45" s="162" t="s">
        <v>260</v>
      </c>
      <c r="E45" s="202"/>
      <c r="F45" s="163">
        <f>F46</f>
        <v>1262740</v>
      </c>
      <c r="G45" s="163">
        <f>G46</f>
        <v>0</v>
      </c>
      <c r="H45" s="163">
        <f t="shared" si="1"/>
        <v>1262740</v>
      </c>
      <c r="I45" s="62">
        <f t="shared" si="0"/>
        <v>2525480</v>
      </c>
      <c r="K45" s="354">
        <f>H45-G45-F45</f>
        <v>0</v>
      </c>
    </row>
    <row r="46" spans="1:11" s="355" customFormat="1" ht="57" customHeight="1">
      <c r="A46" s="179" t="s">
        <v>533</v>
      </c>
      <c r="B46" s="179" t="s">
        <v>449</v>
      </c>
      <c r="C46" s="179" t="s">
        <v>374</v>
      </c>
      <c r="D46" s="29" t="s">
        <v>63</v>
      </c>
      <c r="E46" s="206" t="s">
        <v>993</v>
      </c>
      <c r="F46" s="32">
        <v>1262740</v>
      </c>
      <c r="G46" s="32"/>
      <c r="H46" s="32">
        <f t="shared" si="1"/>
        <v>1262740</v>
      </c>
      <c r="I46" s="62">
        <f t="shared" si="0"/>
        <v>2525480</v>
      </c>
      <c r="K46" s="354">
        <f>H46-G46-F46</f>
        <v>0</v>
      </c>
    </row>
    <row r="47" spans="1:11" s="355" customFormat="1" ht="63">
      <c r="A47" s="179" t="s">
        <v>938</v>
      </c>
      <c r="B47" s="179" t="s">
        <v>939</v>
      </c>
      <c r="C47" s="179" t="s">
        <v>10</v>
      </c>
      <c r="D47" s="26" t="s">
        <v>940</v>
      </c>
      <c r="E47" s="271" t="s">
        <v>1038</v>
      </c>
      <c r="F47" s="32">
        <v>1057900</v>
      </c>
      <c r="G47" s="32"/>
      <c r="H47" s="32">
        <f t="shared" si="1"/>
        <v>1057900</v>
      </c>
      <c r="I47" s="62">
        <f t="shared" si="0"/>
        <v>2115800</v>
      </c>
      <c r="K47" s="354">
        <f>H47-G47-F47</f>
        <v>0</v>
      </c>
    </row>
    <row r="48" spans="1:11" ht="63" hidden="1">
      <c r="A48" s="27" t="s">
        <v>548</v>
      </c>
      <c r="B48" s="27" t="s">
        <v>549</v>
      </c>
      <c r="C48" s="27" t="s">
        <v>10</v>
      </c>
      <c r="D48" s="26" t="s">
        <v>550</v>
      </c>
      <c r="E48" s="200"/>
      <c r="F48" s="35"/>
      <c r="G48" s="35"/>
      <c r="H48" s="35">
        <f t="shared" si="1"/>
        <v>0</v>
      </c>
      <c r="I48" s="62">
        <f t="shared" si="0"/>
        <v>0</v>
      </c>
    </row>
    <row r="49" spans="1:11" ht="78.75" hidden="1">
      <c r="A49" s="27" t="s">
        <v>551</v>
      </c>
      <c r="B49" s="24">
        <v>9330</v>
      </c>
      <c r="C49" s="27" t="s">
        <v>10</v>
      </c>
      <c r="D49" s="28" t="s">
        <v>552</v>
      </c>
      <c r="E49" s="207"/>
      <c r="F49" s="33"/>
      <c r="G49" s="33"/>
      <c r="H49" s="33">
        <f t="shared" si="1"/>
        <v>0</v>
      </c>
      <c r="I49" s="62">
        <f t="shared" si="0"/>
        <v>0</v>
      </c>
    </row>
    <row r="50" spans="1:11" s="355" customFormat="1" ht="45">
      <c r="A50" s="27" t="s">
        <v>901</v>
      </c>
      <c r="B50" s="27" t="s">
        <v>515</v>
      </c>
      <c r="C50" s="27" t="s">
        <v>10</v>
      </c>
      <c r="D50" s="25" t="s">
        <v>596</v>
      </c>
      <c r="E50" s="271" t="s">
        <v>3184</v>
      </c>
      <c r="F50" s="33"/>
      <c r="G50" s="33">
        <v>2700000</v>
      </c>
      <c r="H50" s="33">
        <f t="shared" si="1"/>
        <v>2700000</v>
      </c>
      <c r="I50" s="62">
        <f t="shared" si="0"/>
        <v>5400000</v>
      </c>
      <c r="K50" s="354">
        <f>H50-G50-F50</f>
        <v>0</v>
      </c>
    </row>
    <row r="51" spans="1:11" s="355" customFormat="1" ht="47.25">
      <c r="A51" s="172" t="s">
        <v>553</v>
      </c>
      <c r="B51" s="172"/>
      <c r="C51" s="172"/>
      <c r="D51" s="171" t="s">
        <v>376</v>
      </c>
      <c r="E51" s="208"/>
      <c r="F51" s="318">
        <f>+F53+F55+F56+F58+F60+F61+F62+F64+F65+F66+F72+F71+F68+F74+F69+F63+F59+F75+F76+F77+F78+F54+F57+F73</f>
        <v>44496310</v>
      </c>
      <c r="G51" s="318">
        <f>+G53+G55+G56+G58+G60+G61+G62+G64+G65+G66+G72+G71+G68+G74+G69+G63+G59+G75+G76+G77+G78+G54+G57+G73</f>
        <v>19167400</v>
      </c>
      <c r="H51" s="318">
        <f>+H53+H55+H56+H58+H60+H61+H62+H64+H65+H66+H72+H71+H68+H74+H69+H63+H59+H75+H76+H77+H78+H54+H57+H73</f>
        <v>63663710</v>
      </c>
      <c r="I51" s="62">
        <f t="shared" si="0"/>
        <v>127327420</v>
      </c>
      <c r="K51" s="354">
        <f>H51-G51-F51</f>
        <v>0</v>
      </c>
    </row>
    <row r="52" spans="1:11" s="355" customFormat="1" ht="47.25">
      <c r="A52" s="172" t="s">
        <v>554</v>
      </c>
      <c r="B52" s="172"/>
      <c r="C52" s="172"/>
      <c r="D52" s="171" t="s">
        <v>376</v>
      </c>
      <c r="E52" s="208"/>
      <c r="F52" s="318">
        <f>F53+F55+F56+F58+F59+F60+F61+F62+F63+F64+F65+F66+F67+F70+F74+F75+F76+F77+F78+F54+F57</f>
        <v>44496310</v>
      </c>
      <c r="G52" s="318">
        <f>G53+G55+G56+G58+G59+G60+G61+G62+G63+G64+G65+G66+G67+G70+G74+G75+G76+G77+G78+G54+G57</f>
        <v>19167400</v>
      </c>
      <c r="H52" s="318">
        <f>H53+H55+H56+H58+H59+H60+H61+H62+H63+H64+H65+H66+H67+H70+H74+H75+H76+H77+H78+H54+H57</f>
        <v>63663710</v>
      </c>
      <c r="I52" s="62">
        <f t="shared" si="0"/>
        <v>127327420</v>
      </c>
      <c r="K52" s="354">
        <f>H52-G52-F52</f>
        <v>0</v>
      </c>
    </row>
    <row r="53" spans="1:11" ht="47.25" hidden="1">
      <c r="A53" s="27" t="s">
        <v>555</v>
      </c>
      <c r="B53" s="27" t="s">
        <v>23</v>
      </c>
      <c r="C53" s="27" t="s">
        <v>24</v>
      </c>
      <c r="D53" s="26" t="s">
        <v>536</v>
      </c>
      <c r="E53" s="209"/>
      <c r="F53" s="319"/>
      <c r="G53" s="319"/>
      <c r="H53" s="319">
        <f t="shared" si="1"/>
        <v>0</v>
      </c>
      <c r="I53" s="62">
        <f t="shared" si="0"/>
        <v>0</v>
      </c>
    </row>
    <row r="54" spans="1:11" ht="46.9" hidden="1" customHeight="1">
      <c r="A54" s="27" t="s">
        <v>796</v>
      </c>
      <c r="B54" s="27" t="s">
        <v>797</v>
      </c>
      <c r="C54" s="27" t="s">
        <v>798</v>
      </c>
      <c r="D54" s="26" t="s">
        <v>799</v>
      </c>
      <c r="E54" s="209"/>
      <c r="F54" s="319"/>
      <c r="G54" s="319"/>
      <c r="H54" s="319">
        <f t="shared" si="1"/>
        <v>0</v>
      </c>
      <c r="I54" s="62">
        <f t="shared" si="0"/>
        <v>0</v>
      </c>
    </row>
    <row r="55" spans="1:11" ht="47.25" hidden="1">
      <c r="A55" s="27" t="s">
        <v>564</v>
      </c>
      <c r="B55" s="27" t="s">
        <v>11</v>
      </c>
      <c r="C55" s="27" t="s">
        <v>12</v>
      </c>
      <c r="D55" s="26" t="s">
        <v>90</v>
      </c>
      <c r="E55" s="209"/>
      <c r="F55" s="319"/>
      <c r="G55" s="319"/>
      <c r="H55" s="319">
        <f t="shared" si="1"/>
        <v>0</v>
      </c>
      <c r="I55" s="62">
        <f t="shared" si="0"/>
        <v>0</v>
      </c>
    </row>
    <row r="56" spans="1:11" s="355" customFormat="1" ht="66" customHeight="1">
      <c r="A56" s="1193" t="s">
        <v>556</v>
      </c>
      <c r="B56" s="1193" t="s">
        <v>91</v>
      </c>
      <c r="C56" s="1193" t="s">
        <v>162</v>
      </c>
      <c r="D56" s="1205" t="s">
        <v>92</v>
      </c>
      <c r="E56" s="230" t="s">
        <v>994</v>
      </c>
      <c r="F56" s="279">
        <v>39775410</v>
      </c>
      <c r="G56" s="319">
        <f>13822000</f>
        <v>13822000</v>
      </c>
      <c r="H56" s="320">
        <f t="shared" si="1"/>
        <v>53597410</v>
      </c>
      <c r="I56" s="62">
        <f t="shared" si="0"/>
        <v>107194820</v>
      </c>
      <c r="K56" s="354">
        <f>H56-G56-F56</f>
        <v>0</v>
      </c>
    </row>
    <row r="57" spans="1:11" s="355" customFormat="1" ht="63">
      <c r="A57" s="1194"/>
      <c r="B57" s="1194"/>
      <c r="C57" s="1194"/>
      <c r="D57" s="1206"/>
      <c r="E57" s="194" t="s">
        <v>1043</v>
      </c>
      <c r="F57" s="279">
        <v>150000</v>
      </c>
      <c r="G57" s="319"/>
      <c r="H57" s="320">
        <f t="shared" si="1"/>
        <v>150000</v>
      </c>
      <c r="I57" s="62">
        <f t="shared" si="0"/>
        <v>300000</v>
      </c>
      <c r="K57" s="354">
        <f>H57-G57-F57</f>
        <v>0</v>
      </c>
    </row>
    <row r="58" spans="1:11" ht="31.5" hidden="1">
      <c r="A58" s="27" t="s">
        <v>565</v>
      </c>
      <c r="B58" s="27" t="s">
        <v>566</v>
      </c>
      <c r="C58" s="27" t="s">
        <v>94</v>
      </c>
      <c r="D58" s="26" t="s">
        <v>161</v>
      </c>
      <c r="E58" s="209"/>
      <c r="F58" s="319"/>
      <c r="G58" s="319"/>
      <c r="H58" s="319">
        <f t="shared" si="1"/>
        <v>0</v>
      </c>
      <c r="I58" s="62">
        <f t="shared" si="0"/>
        <v>0</v>
      </c>
    </row>
    <row r="59" spans="1:11" ht="47.25" hidden="1">
      <c r="A59" s="27" t="s">
        <v>557</v>
      </c>
      <c r="B59" s="27" t="s">
        <v>93</v>
      </c>
      <c r="C59" s="27" t="s">
        <v>163</v>
      </c>
      <c r="D59" s="26" t="s">
        <v>289</v>
      </c>
      <c r="E59" s="209"/>
      <c r="F59" s="319"/>
      <c r="G59" s="319"/>
      <c r="H59" s="319">
        <f t="shared" si="1"/>
        <v>0</v>
      </c>
      <c r="I59" s="62">
        <f t="shared" si="0"/>
        <v>0</v>
      </c>
    </row>
    <row r="60" spans="1:11" ht="31.5" hidden="1">
      <c r="A60" s="27" t="s">
        <v>597</v>
      </c>
      <c r="B60" s="27" t="s">
        <v>598</v>
      </c>
      <c r="C60" s="27" t="s">
        <v>165</v>
      </c>
      <c r="D60" s="26" t="s">
        <v>599</v>
      </c>
      <c r="E60" s="209"/>
      <c r="F60" s="319"/>
      <c r="G60" s="319"/>
      <c r="H60" s="319">
        <f t="shared" si="1"/>
        <v>0</v>
      </c>
      <c r="I60" s="62">
        <f t="shared" si="0"/>
        <v>0</v>
      </c>
    </row>
    <row r="61" spans="1:11" ht="47.25" hidden="1">
      <c r="A61" s="27" t="s">
        <v>558</v>
      </c>
      <c r="B61" s="27" t="s">
        <v>95</v>
      </c>
      <c r="C61" s="27" t="s">
        <v>167</v>
      </c>
      <c r="D61" s="26" t="s">
        <v>168</v>
      </c>
      <c r="E61" s="209"/>
      <c r="F61" s="319"/>
      <c r="G61" s="319"/>
      <c r="H61" s="319">
        <f t="shared" si="1"/>
        <v>0</v>
      </c>
      <c r="I61" s="62">
        <f t="shared" si="0"/>
        <v>0</v>
      </c>
    </row>
    <row r="62" spans="1:11" ht="15.75" hidden="1">
      <c r="A62" s="27" t="s">
        <v>559</v>
      </c>
      <c r="B62" s="27" t="s">
        <v>164</v>
      </c>
      <c r="C62" s="27" t="s">
        <v>170</v>
      </c>
      <c r="D62" s="26" t="s">
        <v>171</v>
      </c>
      <c r="E62" s="209"/>
      <c r="F62" s="319"/>
      <c r="G62" s="319"/>
      <c r="H62" s="319">
        <f t="shared" si="1"/>
        <v>0</v>
      </c>
      <c r="I62" s="62">
        <f t="shared" si="0"/>
        <v>0</v>
      </c>
    </row>
    <row r="63" spans="1:11" ht="31.5" hidden="1">
      <c r="A63" s="27" t="s">
        <v>567</v>
      </c>
      <c r="B63" s="27" t="s">
        <v>568</v>
      </c>
      <c r="C63" s="27" t="s">
        <v>172</v>
      </c>
      <c r="D63" s="26" t="s">
        <v>173</v>
      </c>
      <c r="E63" s="209"/>
      <c r="F63" s="319"/>
      <c r="G63" s="319"/>
      <c r="H63" s="319">
        <f t="shared" si="1"/>
        <v>0</v>
      </c>
      <c r="I63" s="62">
        <f t="shared" si="0"/>
        <v>0</v>
      </c>
    </row>
    <row r="64" spans="1:11" s="355" customFormat="1" ht="63">
      <c r="A64" s="27" t="s">
        <v>560</v>
      </c>
      <c r="B64" s="27" t="s">
        <v>166</v>
      </c>
      <c r="C64" s="27" t="s">
        <v>175</v>
      </c>
      <c r="D64" s="26" t="s">
        <v>176</v>
      </c>
      <c r="E64" s="194" t="s">
        <v>1043</v>
      </c>
      <c r="F64" s="320">
        <f>545200-304600</f>
        <v>240600</v>
      </c>
      <c r="G64" s="320"/>
      <c r="H64" s="320">
        <f t="shared" si="1"/>
        <v>240600</v>
      </c>
      <c r="I64" s="62">
        <f t="shared" si="0"/>
        <v>481200</v>
      </c>
      <c r="K64" s="354">
        <f>H64-G64-F64</f>
        <v>0</v>
      </c>
    </row>
    <row r="65" spans="1:11" s="186" customFormat="1" ht="15.75" hidden="1">
      <c r="A65" s="27" t="s">
        <v>561</v>
      </c>
      <c r="B65" s="27" t="s">
        <v>169</v>
      </c>
      <c r="C65" s="27" t="s">
        <v>175</v>
      </c>
      <c r="D65" s="26" t="s">
        <v>569</v>
      </c>
      <c r="E65" s="209"/>
      <c r="F65" s="319"/>
      <c r="G65" s="319"/>
      <c r="H65" s="319">
        <f t="shared" si="1"/>
        <v>0</v>
      </c>
      <c r="I65" s="62">
        <f t="shared" si="0"/>
        <v>0</v>
      </c>
    </row>
    <row r="66" spans="1:11" s="186" customFormat="1" ht="31.5" hidden="1">
      <c r="A66" s="27" t="s">
        <v>562</v>
      </c>
      <c r="B66" s="27" t="s">
        <v>174</v>
      </c>
      <c r="C66" s="27" t="s">
        <v>203</v>
      </c>
      <c r="D66" s="26" t="s">
        <v>204</v>
      </c>
      <c r="E66" s="209"/>
      <c r="F66" s="319"/>
      <c r="G66" s="319"/>
      <c r="H66" s="319">
        <f t="shared" si="1"/>
        <v>0</v>
      </c>
      <c r="I66" s="62">
        <f t="shared" si="0"/>
        <v>0</v>
      </c>
    </row>
    <row r="67" spans="1:11" s="355" customFormat="1" ht="31.5">
      <c r="A67" s="165" t="s">
        <v>563</v>
      </c>
      <c r="B67" s="165" t="s">
        <v>177</v>
      </c>
      <c r="C67" s="165"/>
      <c r="D67" s="188" t="s">
        <v>205</v>
      </c>
      <c r="E67" s="202"/>
      <c r="F67" s="163">
        <f>SUBTOTAL(9,F68:F69)</f>
        <v>830300</v>
      </c>
      <c r="G67" s="163">
        <f>SUBTOTAL(9,G68:G69)</f>
        <v>0</v>
      </c>
      <c r="H67" s="163">
        <f t="shared" si="1"/>
        <v>830300</v>
      </c>
      <c r="I67" s="62">
        <f t="shared" si="0"/>
        <v>1660600</v>
      </c>
      <c r="K67" s="354">
        <f>H67-G67-F67</f>
        <v>0</v>
      </c>
    </row>
    <row r="68" spans="1:11" s="355" customFormat="1" ht="50.1" customHeight="1">
      <c r="A68" s="179" t="s">
        <v>576</v>
      </c>
      <c r="B68" s="179" t="s">
        <v>577</v>
      </c>
      <c r="C68" s="182" t="s">
        <v>203</v>
      </c>
      <c r="D68" s="29" t="s">
        <v>206</v>
      </c>
      <c r="E68" s="206" t="s">
        <v>995</v>
      </c>
      <c r="F68" s="259">
        <v>830300</v>
      </c>
      <c r="G68" s="259"/>
      <c r="H68" s="259">
        <f t="shared" si="1"/>
        <v>830300</v>
      </c>
      <c r="I68" s="62">
        <f t="shared" si="0"/>
        <v>1660600</v>
      </c>
      <c r="K68" s="354">
        <f>H68-G68-F68</f>
        <v>0</v>
      </c>
    </row>
    <row r="69" spans="1:11" ht="93.75" hidden="1" customHeight="1">
      <c r="A69" s="179" t="s">
        <v>578</v>
      </c>
      <c r="B69" s="179" t="s">
        <v>579</v>
      </c>
      <c r="C69" s="182" t="s">
        <v>203</v>
      </c>
      <c r="D69" s="183" t="s">
        <v>580</v>
      </c>
      <c r="E69" s="206"/>
      <c r="F69" s="259"/>
      <c r="G69" s="259"/>
      <c r="H69" s="259">
        <f t="shared" si="1"/>
        <v>0</v>
      </c>
      <c r="I69" s="62">
        <f t="shared" si="0"/>
        <v>0</v>
      </c>
    </row>
    <row r="70" spans="1:11" s="355" customFormat="1" ht="31.5">
      <c r="A70" s="165" t="s">
        <v>570</v>
      </c>
      <c r="B70" s="165" t="s">
        <v>571</v>
      </c>
      <c r="C70" s="165"/>
      <c r="D70" s="188" t="s">
        <v>572</v>
      </c>
      <c r="E70" s="202"/>
      <c r="F70" s="163">
        <f>SUM(F71:F73)</f>
        <v>3500000</v>
      </c>
      <c r="G70" s="163">
        <f>SUM(G71:G73)</f>
        <v>5345400</v>
      </c>
      <c r="H70" s="163">
        <f t="shared" si="1"/>
        <v>8845400</v>
      </c>
      <c r="I70" s="62">
        <f t="shared" si="0"/>
        <v>17690800</v>
      </c>
      <c r="K70" s="354">
        <f>H70-G70-F70</f>
        <v>0</v>
      </c>
    </row>
    <row r="71" spans="1:11" ht="31.5" hidden="1">
      <c r="A71" s="179" t="s">
        <v>573</v>
      </c>
      <c r="B71" s="179" t="s">
        <v>574</v>
      </c>
      <c r="C71" s="182" t="s">
        <v>203</v>
      </c>
      <c r="D71" s="183" t="s">
        <v>575</v>
      </c>
      <c r="E71" s="206"/>
      <c r="F71" s="259"/>
      <c r="G71" s="259"/>
      <c r="H71" s="259">
        <f t="shared" si="1"/>
        <v>0</v>
      </c>
      <c r="I71" s="62">
        <f t="shared" si="0"/>
        <v>0</v>
      </c>
    </row>
    <row r="72" spans="1:11" s="355" customFormat="1" ht="75" customHeight="1">
      <c r="A72" s="1197" t="s">
        <v>581</v>
      </c>
      <c r="B72" s="1197" t="s">
        <v>582</v>
      </c>
      <c r="C72" s="1197" t="s">
        <v>203</v>
      </c>
      <c r="D72" s="1202" t="s">
        <v>583</v>
      </c>
      <c r="E72" s="230" t="s">
        <v>994</v>
      </c>
      <c r="F72" s="280">
        <f>3300000</f>
        <v>3300000</v>
      </c>
      <c r="G72" s="280">
        <v>5345400</v>
      </c>
      <c r="H72" s="259">
        <f t="shared" si="1"/>
        <v>8645400</v>
      </c>
      <c r="I72" s="62">
        <f t="shared" si="0"/>
        <v>17290800</v>
      </c>
      <c r="K72" s="354">
        <f>H72-G72-F72</f>
        <v>0</v>
      </c>
    </row>
    <row r="73" spans="1:11" s="355" customFormat="1" ht="54.75" customHeight="1">
      <c r="A73" s="1198"/>
      <c r="B73" s="1198"/>
      <c r="C73" s="1198"/>
      <c r="D73" s="1204"/>
      <c r="E73" s="230" t="s">
        <v>995</v>
      </c>
      <c r="F73" s="280">
        <v>200000</v>
      </c>
      <c r="G73" s="280"/>
      <c r="H73" s="259">
        <f t="shared" si="1"/>
        <v>200000</v>
      </c>
      <c r="I73" s="62">
        <f t="shared" si="0"/>
        <v>400000</v>
      </c>
      <c r="K73" s="354">
        <f>H73-G73-F73</f>
        <v>0</v>
      </c>
    </row>
    <row r="74" spans="1:11" ht="15.75" hidden="1">
      <c r="A74" s="27" t="s">
        <v>584</v>
      </c>
      <c r="B74" s="27" t="s">
        <v>354</v>
      </c>
      <c r="C74" s="27" t="s">
        <v>207</v>
      </c>
      <c r="D74" s="26" t="s">
        <v>585</v>
      </c>
      <c r="E74" s="201"/>
      <c r="F74" s="320"/>
      <c r="G74" s="320"/>
      <c r="H74" s="320">
        <f t="shared" si="1"/>
        <v>0</v>
      </c>
      <c r="I74" s="62">
        <f t="shared" si="0"/>
        <v>0</v>
      </c>
    </row>
    <row r="75" spans="1:11" ht="80.099999999999994" hidden="1" customHeight="1">
      <c r="A75" s="27" t="s">
        <v>586</v>
      </c>
      <c r="B75" s="27" t="s">
        <v>587</v>
      </c>
      <c r="C75" s="27" t="s">
        <v>10</v>
      </c>
      <c r="D75" s="26" t="s">
        <v>588</v>
      </c>
      <c r="E75" s="201"/>
      <c r="F75" s="320"/>
      <c r="G75" s="320"/>
      <c r="H75" s="320">
        <f t="shared" si="1"/>
        <v>0</v>
      </c>
      <c r="I75" s="62">
        <f t="shared" ref="I75:I138" si="4">SUM(F75:H75)</f>
        <v>0</v>
      </c>
    </row>
    <row r="76" spans="1:11" ht="80.099999999999994" hidden="1" customHeight="1">
      <c r="A76" s="27" t="s">
        <v>589</v>
      </c>
      <c r="B76" s="27" t="s">
        <v>590</v>
      </c>
      <c r="C76" s="27" t="s">
        <v>10</v>
      </c>
      <c r="D76" s="26" t="s">
        <v>591</v>
      </c>
      <c r="E76" s="209"/>
      <c r="F76" s="319"/>
      <c r="G76" s="319"/>
      <c r="H76" s="319">
        <f t="shared" si="1"/>
        <v>0</v>
      </c>
      <c r="I76" s="62">
        <f t="shared" si="4"/>
        <v>0</v>
      </c>
    </row>
    <row r="77" spans="1:11" ht="80.099999999999994" hidden="1" customHeight="1">
      <c r="A77" s="27" t="s">
        <v>592</v>
      </c>
      <c r="B77" s="27" t="s">
        <v>593</v>
      </c>
      <c r="C77" s="27" t="s">
        <v>10</v>
      </c>
      <c r="D77" s="26" t="s">
        <v>594</v>
      </c>
      <c r="E77" s="209"/>
      <c r="F77" s="319"/>
      <c r="G77" s="319"/>
      <c r="H77" s="319">
        <f t="shared" si="1"/>
        <v>0</v>
      </c>
      <c r="I77" s="62">
        <f t="shared" si="4"/>
        <v>0</v>
      </c>
    </row>
    <row r="78" spans="1:11" ht="80.099999999999994" hidden="1" customHeight="1">
      <c r="A78" s="27" t="s">
        <v>595</v>
      </c>
      <c r="B78" s="24">
        <v>9770</v>
      </c>
      <c r="C78" s="27" t="s">
        <v>10</v>
      </c>
      <c r="D78" s="26" t="s">
        <v>596</v>
      </c>
      <c r="E78" s="35"/>
      <c r="F78" s="35"/>
      <c r="G78" s="35"/>
      <c r="H78" s="35">
        <f t="shared" si="1"/>
        <v>0</v>
      </c>
      <c r="I78" s="62">
        <f t="shared" si="4"/>
        <v>0</v>
      </c>
    </row>
    <row r="79" spans="1:11" s="355" customFormat="1" ht="51.95" customHeight="1">
      <c r="A79" s="172" t="s">
        <v>600</v>
      </c>
      <c r="B79" s="172"/>
      <c r="C79" s="172"/>
      <c r="D79" s="171" t="s">
        <v>1751</v>
      </c>
      <c r="E79" s="195"/>
      <c r="F79" s="316">
        <f>F92+F93+F94+F100+F98+F99+F82+F81+F95+F107+F102+F96++F104+F105+F108+F106+F90+F84+F86+F87+F88</f>
        <v>24265500</v>
      </c>
      <c r="G79" s="316">
        <f>G92+G93+G94+G100+G98+G99+G82+G81+G95+G107+G102+G96++G104+G105+G108+G106+G90+G84+G86+G87+G88</f>
        <v>12000</v>
      </c>
      <c r="H79" s="316">
        <f>H92+H93+H94+H100+H98+H99+H82+H81+H95+H107+H102+H96++H104+H105+H108+H106+H90+H84+H86+H87+H88</f>
        <v>24277500</v>
      </c>
      <c r="I79" s="62">
        <f t="shared" si="4"/>
        <v>48555000</v>
      </c>
      <c r="K79" s="354">
        <f>H79-G79-F79</f>
        <v>0</v>
      </c>
    </row>
    <row r="80" spans="1:11" s="355" customFormat="1" ht="47.25">
      <c r="A80" s="172" t="s">
        <v>601</v>
      </c>
      <c r="B80" s="172"/>
      <c r="C80" s="172"/>
      <c r="D80" s="171" t="s">
        <v>1751</v>
      </c>
      <c r="E80" s="195"/>
      <c r="F80" s="316">
        <f>F81+F82+F91+F96+F100+F101+F107+F97+F103+F108+F89+F85+F83</f>
        <v>24265500</v>
      </c>
      <c r="G80" s="316">
        <f>G81+G82+G91+G96+G100+G101+G107+G97+G103+G108+G89+G85+G83</f>
        <v>12000</v>
      </c>
      <c r="H80" s="316">
        <f>H81+H82+H91+H96+H100+H101+H107+H97+H103+H108+H89+H85+H83</f>
        <v>24277500</v>
      </c>
      <c r="I80" s="62">
        <f t="shared" si="4"/>
        <v>48555000</v>
      </c>
      <c r="K80" s="354">
        <f>H80-G80-F80</f>
        <v>0</v>
      </c>
    </row>
    <row r="81" spans="1:11" s="355" customFormat="1" ht="47.25" hidden="1">
      <c r="A81" s="27" t="s">
        <v>602</v>
      </c>
      <c r="B81" s="27" t="s">
        <v>208</v>
      </c>
      <c r="C81" s="27" t="s">
        <v>18</v>
      </c>
      <c r="D81" s="25" t="s">
        <v>209</v>
      </c>
      <c r="E81" s="211"/>
      <c r="F81" s="30"/>
      <c r="G81" s="30"/>
      <c r="H81" s="30">
        <f t="shared" ref="H81:H157" si="5">F81+G81</f>
        <v>0</v>
      </c>
      <c r="I81" s="62">
        <f t="shared" si="4"/>
        <v>0</v>
      </c>
    </row>
    <row r="82" spans="1:11" s="355" customFormat="1" ht="31.5" hidden="1">
      <c r="A82" s="27" t="s">
        <v>603</v>
      </c>
      <c r="B82" s="27" t="s">
        <v>210</v>
      </c>
      <c r="C82" s="27" t="s">
        <v>211</v>
      </c>
      <c r="D82" s="26" t="s">
        <v>290</v>
      </c>
      <c r="E82" s="207"/>
      <c r="F82" s="33"/>
      <c r="G82" s="33"/>
      <c r="H82" s="33">
        <f t="shared" si="5"/>
        <v>0</v>
      </c>
      <c r="I82" s="62">
        <f t="shared" si="4"/>
        <v>0</v>
      </c>
    </row>
    <row r="83" spans="1:11" s="355" customFormat="1" ht="31.5">
      <c r="A83" s="165" t="s">
        <v>1739</v>
      </c>
      <c r="B83" s="165" t="s">
        <v>452</v>
      </c>
      <c r="C83" s="165"/>
      <c r="D83" s="162" t="s">
        <v>113</v>
      </c>
      <c r="E83" s="202"/>
      <c r="F83" s="163">
        <f>SUBTOTAL(9,F84)</f>
        <v>1044600</v>
      </c>
      <c r="G83" s="163">
        <f>SUBTOTAL(9,G84)</f>
        <v>12000</v>
      </c>
      <c r="H83" s="163">
        <f t="shared" ref="H83:H88" si="6">F83+G83</f>
        <v>1056600</v>
      </c>
      <c r="I83" s="62">
        <f t="shared" si="4"/>
        <v>2113200</v>
      </c>
    </row>
    <row r="84" spans="1:11" s="355" customFormat="1" ht="78.75">
      <c r="A84" s="179" t="s">
        <v>1740</v>
      </c>
      <c r="B84" s="179" t="s">
        <v>426</v>
      </c>
      <c r="C84" s="182" t="s">
        <v>14</v>
      </c>
      <c r="D84" s="29" t="s">
        <v>98</v>
      </c>
      <c r="E84" s="207" t="s">
        <v>1000</v>
      </c>
      <c r="F84" s="32">
        <v>1044600</v>
      </c>
      <c r="G84" s="32">
        <v>12000</v>
      </c>
      <c r="H84" s="32">
        <f t="shared" si="6"/>
        <v>1056600</v>
      </c>
      <c r="I84" s="62">
        <f t="shared" si="4"/>
        <v>2113200</v>
      </c>
    </row>
    <row r="85" spans="1:11" s="355" customFormat="1" ht="31.5">
      <c r="A85" s="165" t="s">
        <v>1741</v>
      </c>
      <c r="B85" s="165" t="s">
        <v>662</v>
      </c>
      <c r="C85" s="165"/>
      <c r="D85" s="162" t="s">
        <v>123</v>
      </c>
      <c r="E85" s="202"/>
      <c r="F85" s="163">
        <f>SUBTOTAL(9,F86:F88)</f>
        <v>634400</v>
      </c>
      <c r="G85" s="163">
        <f>SUBTOTAL(9,G86:G88)</f>
        <v>0</v>
      </c>
      <c r="H85" s="163">
        <f t="shared" si="6"/>
        <v>634400</v>
      </c>
      <c r="I85" s="62">
        <f t="shared" si="4"/>
        <v>1268800</v>
      </c>
    </row>
    <row r="86" spans="1:11" s="355" customFormat="1" ht="47.25">
      <c r="A86" s="179" t="s">
        <v>1742</v>
      </c>
      <c r="B86" s="179" t="s">
        <v>664</v>
      </c>
      <c r="C86" s="179" t="s">
        <v>14</v>
      </c>
      <c r="D86" s="29" t="s">
        <v>665</v>
      </c>
      <c r="E86" s="206" t="s">
        <v>1004</v>
      </c>
      <c r="F86" s="259">
        <v>43600</v>
      </c>
      <c r="G86" s="259"/>
      <c r="H86" s="259">
        <f t="shared" si="6"/>
        <v>43600</v>
      </c>
      <c r="I86" s="62">
        <f t="shared" si="4"/>
        <v>87200</v>
      </c>
    </row>
    <row r="87" spans="1:11" s="355" customFormat="1" ht="47.25">
      <c r="A87" s="179" t="s">
        <v>1743</v>
      </c>
      <c r="B87" s="179" t="s">
        <v>667</v>
      </c>
      <c r="C87" s="179" t="s">
        <v>14</v>
      </c>
      <c r="D87" s="181" t="s">
        <v>379</v>
      </c>
      <c r="E87" s="206" t="s">
        <v>1004</v>
      </c>
      <c r="F87" s="259">
        <v>82900</v>
      </c>
      <c r="G87" s="259"/>
      <c r="H87" s="259">
        <f t="shared" si="6"/>
        <v>82900</v>
      </c>
      <c r="I87" s="62">
        <f t="shared" si="4"/>
        <v>165800</v>
      </c>
    </row>
    <row r="88" spans="1:11" s="355" customFormat="1" ht="47.25">
      <c r="A88" s="179" t="s">
        <v>1744</v>
      </c>
      <c r="B88" s="179" t="s">
        <v>669</v>
      </c>
      <c r="C88" s="179" t="s">
        <v>14</v>
      </c>
      <c r="D88" s="29" t="s">
        <v>224</v>
      </c>
      <c r="E88" s="206" t="s">
        <v>1004</v>
      </c>
      <c r="F88" s="259">
        <v>507900</v>
      </c>
      <c r="G88" s="259"/>
      <c r="H88" s="259">
        <f t="shared" si="6"/>
        <v>507900</v>
      </c>
      <c r="I88" s="62">
        <f t="shared" si="4"/>
        <v>1015800</v>
      </c>
    </row>
    <row r="89" spans="1:11" s="355" customFormat="1" ht="46.9" customHeight="1">
      <c r="A89" s="165" t="s">
        <v>1128</v>
      </c>
      <c r="B89" s="165" t="s">
        <v>723</v>
      </c>
      <c r="C89" s="165"/>
      <c r="D89" s="162" t="s">
        <v>196</v>
      </c>
      <c r="E89" s="162"/>
      <c r="F89" s="308">
        <f>F90</f>
        <v>500000</v>
      </c>
      <c r="G89" s="308">
        <f>G90</f>
        <v>0</v>
      </c>
      <c r="H89" s="308">
        <f>H90</f>
        <v>500000</v>
      </c>
      <c r="I89" s="62">
        <f t="shared" si="4"/>
        <v>1000000</v>
      </c>
      <c r="K89" s="354">
        <f>H89-G89-F89</f>
        <v>0</v>
      </c>
    </row>
    <row r="90" spans="1:11" s="355" customFormat="1" ht="83.45" customHeight="1">
      <c r="A90" s="179" t="s">
        <v>1130</v>
      </c>
      <c r="B90" s="179" t="s">
        <v>725</v>
      </c>
      <c r="C90" s="179" t="s">
        <v>211</v>
      </c>
      <c r="D90" s="29" t="s">
        <v>1624</v>
      </c>
      <c r="E90" s="29" t="s">
        <v>1131</v>
      </c>
      <c r="F90" s="33">
        <v>500000</v>
      </c>
      <c r="G90" s="33"/>
      <c r="H90" s="33">
        <f>F90+G90</f>
        <v>500000</v>
      </c>
      <c r="I90" s="62">
        <f t="shared" si="4"/>
        <v>1000000</v>
      </c>
      <c r="K90" s="354">
        <f>H90-G90-F90</f>
        <v>0</v>
      </c>
    </row>
    <row r="91" spans="1:11" ht="52.15" hidden="1" customHeight="1">
      <c r="A91" s="165" t="s">
        <v>604</v>
      </c>
      <c r="B91" s="165">
        <v>3100</v>
      </c>
      <c r="C91" s="165"/>
      <c r="D91" s="162" t="s">
        <v>971</v>
      </c>
      <c r="E91" s="202"/>
      <c r="F91" s="163">
        <f>F92+F93+F94+F95</f>
        <v>0</v>
      </c>
      <c r="G91" s="163">
        <f>G92+G93+G94+G95</f>
        <v>0</v>
      </c>
      <c r="H91" s="163">
        <f t="shared" si="5"/>
        <v>0</v>
      </c>
      <c r="I91" s="62">
        <f t="shared" si="4"/>
        <v>0</v>
      </c>
    </row>
    <row r="92" spans="1:11" ht="82.9" hidden="1" customHeight="1">
      <c r="A92" s="179" t="s">
        <v>605</v>
      </c>
      <c r="B92" s="179" t="s">
        <v>212</v>
      </c>
      <c r="C92" s="179" t="s">
        <v>213</v>
      </c>
      <c r="D92" s="29" t="s">
        <v>214</v>
      </c>
      <c r="E92" s="203"/>
      <c r="F92" s="32"/>
      <c r="G92" s="32"/>
      <c r="H92" s="32">
        <f t="shared" si="5"/>
        <v>0</v>
      </c>
      <c r="I92" s="62">
        <f t="shared" si="4"/>
        <v>0</v>
      </c>
    </row>
    <row r="93" spans="1:11" ht="266.10000000000002" hidden="1" customHeight="1">
      <c r="A93" s="179" t="s">
        <v>606</v>
      </c>
      <c r="B93" s="179" t="s">
        <v>215</v>
      </c>
      <c r="C93" s="179" t="s">
        <v>216</v>
      </c>
      <c r="D93" s="29" t="s">
        <v>124</v>
      </c>
      <c r="E93" s="203"/>
      <c r="F93" s="32"/>
      <c r="G93" s="32"/>
      <c r="H93" s="32">
        <f t="shared" si="5"/>
        <v>0</v>
      </c>
      <c r="I93" s="62">
        <f t="shared" si="4"/>
        <v>0</v>
      </c>
    </row>
    <row r="94" spans="1:11" ht="45" hidden="1" customHeight="1">
      <c r="A94" s="179" t="s">
        <v>607</v>
      </c>
      <c r="B94" s="179" t="s">
        <v>217</v>
      </c>
      <c r="C94" s="179" t="s">
        <v>213</v>
      </c>
      <c r="D94" s="29" t="s">
        <v>973</v>
      </c>
      <c r="E94" s="206"/>
      <c r="F94" s="259"/>
      <c r="G94" s="259"/>
      <c r="H94" s="259">
        <f t="shared" si="5"/>
        <v>0</v>
      </c>
      <c r="I94" s="62">
        <f t="shared" si="4"/>
        <v>0</v>
      </c>
    </row>
    <row r="95" spans="1:11" ht="31.15" hidden="1" customHeight="1">
      <c r="A95" s="179" t="s">
        <v>608</v>
      </c>
      <c r="B95" s="179" t="s">
        <v>218</v>
      </c>
      <c r="C95" s="179" t="s">
        <v>213</v>
      </c>
      <c r="D95" s="29" t="s">
        <v>610</v>
      </c>
      <c r="E95" s="206"/>
      <c r="F95" s="259"/>
      <c r="G95" s="259"/>
      <c r="H95" s="259">
        <f t="shared" si="5"/>
        <v>0</v>
      </c>
      <c r="I95" s="62">
        <f t="shared" si="4"/>
        <v>0</v>
      </c>
    </row>
    <row r="96" spans="1:11" ht="78.599999999999994" hidden="1" customHeight="1">
      <c r="A96" s="27" t="s">
        <v>611</v>
      </c>
      <c r="B96" s="27" t="s">
        <v>441</v>
      </c>
      <c r="C96" s="27"/>
      <c r="D96" s="25" t="s">
        <v>612</v>
      </c>
      <c r="E96" s="206"/>
      <c r="F96" s="259"/>
      <c r="G96" s="259"/>
      <c r="H96" s="259">
        <f t="shared" si="5"/>
        <v>0</v>
      </c>
      <c r="I96" s="62">
        <f t="shared" si="4"/>
        <v>0</v>
      </c>
    </row>
    <row r="97" spans="1:11" ht="78.599999999999994" hidden="1" customHeight="1">
      <c r="A97" s="165" t="s">
        <v>616</v>
      </c>
      <c r="B97" s="165" t="s">
        <v>617</v>
      </c>
      <c r="C97" s="165"/>
      <c r="D97" s="162" t="s">
        <v>618</v>
      </c>
      <c r="E97" s="202"/>
      <c r="F97" s="163">
        <f>F98+F99</f>
        <v>0</v>
      </c>
      <c r="G97" s="163">
        <f>G98+G99</f>
        <v>0</v>
      </c>
      <c r="H97" s="163">
        <f t="shared" si="5"/>
        <v>0</v>
      </c>
      <c r="I97" s="62">
        <f t="shared" si="4"/>
        <v>0</v>
      </c>
    </row>
    <row r="98" spans="1:11" ht="30.6" hidden="1" customHeight="1">
      <c r="A98" s="179" t="s">
        <v>613</v>
      </c>
      <c r="B98" s="179" t="s">
        <v>614</v>
      </c>
      <c r="C98" s="179" t="s">
        <v>213</v>
      </c>
      <c r="D98" s="29" t="s">
        <v>615</v>
      </c>
      <c r="E98" s="206"/>
      <c r="F98" s="259"/>
      <c r="G98" s="259"/>
      <c r="H98" s="259">
        <f t="shared" si="5"/>
        <v>0</v>
      </c>
      <c r="I98" s="62">
        <f t="shared" si="4"/>
        <v>0</v>
      </c>
    </row>
    <row r="99" spans="1:11" ht="33" hidden="1" customHeight="1">
      <c r="A99" s="179" t="s">
        <v>619</v>
      </c>
      <c r="B99" s="179" t="s">
        <v>620</v>
      </c>
      <c r="C99" s="179" t="s">
        <v>213</v>
      </c>
      <c r="D99" s="29" t="s">
        <v>37</v>
      </c>
      <c r="E99" s="206"/>
      <c r="F99" s="259"/>
      <c r="G99" s="259"/>
      <c r="H99" s="259">
        <f t="shared" si="5"/>
        <v>0</v>
      </c>
      <c r="I99" s="62">
        <f t="shared" si="4"/>
        <v>0</v>
      </c>
    </row>
    <row r="100" spans="1:11" ht="15.6" hidden="1" customHeight="1">
      <c r="A100" s="27" t="s">
        <v>621</v>
      </c>
      <c r="B100" s="27" t="s">
        <v>195</v>
      </c>
      <c r="C100" s="27" t="s">
        <v>8</v>
      </c>
      <c r="D100" s="25" t="s">
        <v>220</v>
      </c>
      <c r="E100" s="207"/>
      <c r="F100" s="33"/>
      <c r="G100" s="33"/>
      <c r="H100" s="33">
        <f t="shared" si="5"/>
        <v>0</v>
      </c>
      <c r="I100" s="62">
        <f t="shared" si="4"/>
        <v>0</v>
      </c>
    </row>
    <row r="101" spans="1:11" ht="15.6" hidden="1" customHeight="1">
      <c r="A101" s="165" t="s">
        <v>609</v>
      </c>
      <c r="B101" s="165" t="s">
        <v>219</v>
      </c>
      <c r="C101" s="165"/>
      <c r="D101" s="162" t="s">
        <v>626</v>
      </c>
      <c r="E101" s="163"/>
      <c r="F101" s="163">
        <f>F102</f>
        <v>0</v>
      </c>
      <c r="G101" s="163">
        <f>G102</f>
        <v>0</v>
      </c>
      <c r="H101" s="163">
        <f t="shared" si="5"/>
        <v>0</v>
      </c>
      <c r="I101" s="62">
        <f t="shared" si="4"/>
        <v>0</v>
      </c>
    </row>
    <row r="102" spans="1:11" s="14" customFormat="1" ht="267.75" hidden="1">
      <c r="A102" s="179" t="s">
        <v>627</v>
      </c>
      <c r="B102" s="179" t="s">
        <v>628</v>
      </c>
      <c r="C102" s="179" t="s">
        <v>88</v>
      </c>
      <c r="D102" s="29" t="s">
        <v>629</v>
      </c>
      <c r="E102" s="32"/>
      <c r="F102" s="32"/>
      <c r="G102" s="32"/>
      <c r="H102" s="32">
        <f t="shared" si="5"/>
        <v>0</v>
      </c>
      <c r="I102" s="62">
        <f t="shared" si="4"/>
        <v>0</v>
      </c>
    </row>
    <row r="103" spans="1:11" s="355" customFormat="1" ht="15.75">
      <c r="A103" s="165" t="s">
        <v>975</v>
      </c>
      <c r="B103" s="165">
        <v>3240</v>
      </c>
      <c r="C103" s="165"/>
      <c r="D103" s="162" t="s">
        <v>497</v>
      </c>
      <c r="E103" s="163"/>
      <c r="F103" s="163">
        <f>SUM(F104:F106)</f>
        <v>8883800</v>
      </c>
      <c r="G103" s="163">
        <f>SUM(G104:G106)</f>
        <v>0</v>
      </c>
      <c r="H103" s="163">
        <f>SUM(H104:H106)</f>
        <v>8883800</v>
      </c>
      <c r="I103" s="62">
        <f t="shared" si="4"/>
        <v>17767600</v>
      </c>
      <c r="K103" s="354">
        <f>H103-G103-F103</f>
        <v>0</v>
      </c>
    </row>
    <row r="104" spans="1:11" ht="46.9" hidden="1" customHeight="1">
      <c r="A104" s="179" t="s">
        <v>623</v>
      </c>
      <c r="B104" s="179" t="s">
        <v>624</v>
      </c>
      <c r="C104" s="179">
        <v>1090</v>
      </c>
      <c r="D104" s="29" t="s">
        <v>625</v>
      </c>
      <c r="E104" s="207"/>
      <c r="F104" s="33"/>
      <c r="G104" s="33"/>
      <c r="H104" s="33">
        <f t="shared" si="5"/>
        <v>0</v>
      </c>
      <c r="I104" s="62">
        <f t="shared" si="4"/>
        <v>0</v>
      </c>
    </row>
    <row r="105" spans="1:11" s="355" customFormat="1" ht="110.25">
      <c r="A105" s="1197" t="s">
        <v>622</v>
      </c>
      <c r="B105" s="1197">
        <v>3242</v>
      </c>
      <c r="C105" s="1197">
        <v>1090</v>
      </c>
      <c r="D105" s="1202" t="s">
        <v>498</v>
      </c>
      <c r="E105" s="207" t="s">
        <v>996</v>
      </c>
      <c r="F105" s="33">
        <v>5066300</v>
      </c>
      <c r="G105" s="33"/>
      <c r="H105" s="33">
        <f t="shared" si="5"/>
        <v>5066300</v>
      </c>
      <c r="I105" s="62">
        <f t="shared" si="4"/>
        <v>10132600</v>
      </c>
      <c r="K105" s="354">
        <f>H105-G105-F105</f>
        <v>0</v>
      </c>
    </row>
    <row r="106" spans="1:11" s="355" customFormat="1" ht="78.75">
      <c r="A106" s="1198"/>
      <c r="B106" s="1198"/>
      <c r="C106" s="1198"/>
      <c r="D106" s="1204"/>
      <c r="E106" s="29" t="s">
        <v>1131</v>
      </c>
      <c r="F106" s="33">
        <v>3817500</v>
      </c>
      <c r="G106" s="33"/>
      <c r="H106" s="33">
        <f t="shared" si="5"/>
        <v>3817500</v>
      </c>
      <c r="I106" s="62">
        <f t="shared" si="4"/>
        <v>7635000</v>
      </c>
      <c r="K106" s="354">
        <f>H106-G106-F106</f>
        <v>0</v>
      </c>
    </row>
    <row r="107" spans="1:11" ht="45" hidden="1" customHeight="1">
      <c r="A107" s="27" t="s">
        <v>630</v>
      </c>
      <c r="B107" s="27" t="s">
        <v>510</v>
      </c>
      <c r="C107" s="27" t="s">
        <v>10</v>
      </c>
      <c r="D107" s="19" t="s">
        <v>631</v>
      </c>
      <c r="E107" s="33"/>
      <c r="F107" s="33"/>
      <c r="G107" s="33"/>
      <c r="H107" s="33">
        <f t="shared" si="5"/>
        <v>0</v>
      </c>
      <c r="I107" s="62">
        <f t="shared" si="4"/>
        <v>0</v>
      </c>
    </row>
    <row r="108" spans="1:11" s="355" customFormat="1" ht="47.25">
      <c r="A108" s="27" t="s">
        <v>902</v>
      </c>
      <c r="B108" s="27" t="s">
        <v>515</v>
      </c>
      <c r="C108" s="27" t="s">
        <v>10</v>
      </c>
      <c r="D108" s="25" t="s">
        <v>596</v>
      </c>
      <c r="E108" s="207" t="s">
        <v>998</v>
      </c>
      <c r="F108" s="33">
        <v>13202700</v>
      </c>
      <c r="G108" s="33"/>
      <c r="H108" s="33">
        <f t="shared" si="5"/>
        <v>13202700</v>
      </c>
      <c r="I108" s="62">
        <f t="shared" si="4"/>
        <v>26405400</v>
      </c>
      <c r="K108" s="354">
        <f>H108-G108-F108</f>
        <v>0</v>
      </c>
    </row>
    <row r="109" spans="1:11" s="355" customFormat="1" ht="31.5">
      <c r="A109" s="172" t="s">
        <v>632</v>
      </c>
      <c r="B109" s="172"/>
      <c r="C109" s="172"/>
      <c r="D109" s="171" t="s">
        <v>381</v>
      </c>
      <c r="E109" s="195"/>
      <c r="F109" s="316">
        <f>F112+F113+F115+F117+F116</f>
        <v>322700</v>
      </c>
      <c r="G109" s="316">
        <f>G112+G113+G115+G117+G116</f>
        <v>1479567</v>
      </c>
      <c r="H109" s="316">
        <f t="shared" si="5"/>
        <v>1802267</v>
      </c>
      <c r="I109" s="62">
        <f t="shared" si="4"/>
        <v>3604534</v>
      </c>
      <c r="K109" s="354">
        <f>H109-G109-F109</f>
        <v>0</v>
      </c>
    </row>
    <row r="110" spans="1:11" s="355" customFormat="1" ht="42.75" customHeight="1">
      <c r="A110" s="172" t="s">
        <v>633</v>
      </c>
      <c r="B110" s="172"/>
      <c r="C110" s="172"/>
      <c r="D110" s="171" t="s">
        <v>381</v>
      </c>
      <c r="E110" s="195"/>
      <c r="F110" s="316">
        <f>F111+F117+F114+F116</f>
        <v>322700</v>
      </c>
      <c r="G110" s="316">
        <f>G111+G117+G114+G116</f>
        <v>1479567</v>
      </c>
      <c r="H110" s="316">
        <f>H111+H117+H114+H116</f>
        <v>1802267</v>
      </c>
      <c r="I110" s="62">
        <f t="shared" si="4"/>
        <v>3604534</v>
      </c>
      <c r="K110" s="354">
        <f>H110-G110-F110</f>
        <v>0</v>
      </c>
    </row>
    <row r="111" spans="1:11" s="355" customFormat="1" ht="31.5">
      <c r="A111" s="165" t="s">
        <v>634</v>
      </c>
      <c r="B111" s="165" t="s">
        <v>452</v>
      </c>
      <c r="C111" s="165"/>
      <c r="D111" s="162" t="s">
        <v>113</v>
      </c>
      <c r="E111" s="202"/>
      <c r="F111" s="163">
        <f>SUBTOTAL(9,F112:F113)</f>
        <v>172700</v>
      </c>
      <c r="G111" s="163">
        <f>SUBTOTAL(9,G112:G113)</f>
        <v>0</v>
      </c>
      <c r="H111" s="163">
        <f t="shared" si="5"/>
        <v>172700</v>
      </c>
      <c r="I111" s="62">
        <f t="shared" si="4"/>
        <v>345400</v>
      </c>
      <c r="K111" s="354">
        <f>H111-G111-F111</f>
        <v>0</v>
      </c>
    </row>
    <row r="112" spans="1:11" ht="63" hidden="1" customHeight="1">
      <c r="A112" s="179" t="s">
        <v>635</v>
      </c>
      <c r="B112" s="179" t="s">
        <v>426</v>
      </c>
      <c r="C112" s="182" t="s">
        <v>14</v>
      </c>
      <c r="D112" s="183" t="s">
        <v>98</v>
      </c>
      <c r="E112" s="207"/>
      <c r="F112" s="33"/>
      <c r="G112" s="33"/>
      <c r="H112" s="33">
        <f t="shared" si="5"/>
        <v>0</v>
      </c>
      <c r="I112" s="62">
        <f t="shared" si="4"/>
        <v>0</v>
      </c>
    </row>
    <row r="113" spans="1:11" s="355" customFormat="1" ht="62.45" customHeight="1">
      <c r="A113" s="179" t="s">
        <v>636</v>
      </c>
      <c r="B113" s="179" t="s">
        <v>221</v>
      </c>
      <c r="C113" s="182" t="s">
        <v>14</v>
      </c>
      <c r="D113" s="29" t="s">
        <v>2</v>
      </c>
      <c r="E113" s="207" t="s">
        <v>999</v>
      </c>
      <c r="F113" s="259">
        <v>172700</v>
      </c>
      <c r="G113" s="259"/>
      <c r="H113" s="259">
        <f t="shared" si="5"/>
        <v>172700</v>
      </c>
      <c r="I113" s="62">
        <f t="shared" si="4"/>
        <v>345400</v>
      </c>
      <c r="K113" s="354">
        <f>H113-G113-F113</f>
        <v>0</v>
      </c>
    </row>
    <row r="114" spans="1:11" s="355" customFormat="1" ht="31.5">
      <c r="A114" s="165" t="s">
        <v>637</v>
      </c>
      <c r="B114" s="165" t="s">
        <v>428</v>
      </c>
      <c r="C114" s="165"/>
      <c r="D114" s="162" t="s">
        <v>258</v>
      </c>
      <c r="E114" s="202"/>
      <c r="F114" s="163">
        <f>F115</f>
        <v>150000</v>
      </c>
      <c r="G114" s="163">
        <f>G115</f>
        <v>0</v>
      </c>
      <c r="H114" s="163">
        <f t="shared" si="5"/>
        <v>150000</v>
      </c>
      <c r="I114" s="62">
        <f t="shared" si="4"/>
        <v>300000</v>
      </c>
      <c r="K114" s="354">
        <f>H114-G114-F114</f>
        <v>0</v>
      </c>
    </row>
    <row r="115" spans="1:11" s="355" customFormat="1" ht="69" customHeight="1">
      <c r="A115" s="179" t="s">
        <v>638</v>
      </c>
      <c r="B115" s="179" t="s">
        <v>436</v>
      </c>
      <c r="C115" s="179" t="s">
        <v>14</v>
      </c>
      <c r="D115" s="29" t="s">
        <v>259</v>
      </c>
      <c r="E115" s="207" t="s">
        <v>999</v>
      </c>
      <c r="F115" s="259">
        <v>150000</v>
      </c>
      <c r="G115" s="259"/>
      <c r="H115" s="259">
        <f t="shared" si="5"/>
        <v>150000</v>
      </c>
      <c r="I115" s="62">
        <f t="shared" si="4"/>
        <v>300000</v>
      </c>
      <c r="K115" s="354">
        <f>H115-G115-F115</f>
        <v>0</v>
      </c>
    </row>
    <row r="116" spans="1:11" ht="15.6" hidden="1" customHeight="1">
      <c r="A116" s="179" t="s">
        <v>903</v>
      </c>
      <c r="B116" s="179" t="s">
        <v>904</v>
      </c>
      <c r="C116" s="179" t="s">
        <v>10</v>
      </c>
      <c r="D116" s="29" t="s">
        <v>905</v>
      </c>
      <c r="E116" s="206"/>
      <c r="F116" s="259"/>
      <c r="G116" s="259"/>
      <c r="H116" s="259">
        <f t="shared" si="5"/>
        <v>0</v>
      </c>
      <c r="I116" s="62">
        <f t="shared" si="4"/>
        <v>0</v>
      </c>
    </row>
    <row r="117" spans="1:11" s="355" customFormat="1" ht="78.75">
      <c r="A117" s="27" t="s">
        <v>639</v>
      </c>
      <c r="B117" s="27" t="s">
        <v>515</v>
      </c>
      <c r="C117" s="27" t="s">
        <v>10</v>
      </c>
      <c r="D117" s="26" t="s">
        <v>516</v>
      </c>
      <c r="E117" s="207" t="s">
        <v>1000</v>
      </c>
      <c r="F117" s="33"/>
      <c r="G117" s="33">
        <f>1574567-95000</f>
        <v>1479567</v>
      </c>
      <c r="H117" s="33">
        <f t="shared" si="5"/>
        <v>1479567</v>
      </c>
      <c r="I117" s="62">
        <f t="shared" si="4"/>
        <v>2959134</v>
      </c>
      <c r="K117" s="354">
        <f>H117-G117-F117</f>
        <v>0</v>
      </c>
    </row>
    <row r="118" spans="1:11" s="355" customFormat="1" ht="47.25">
      <c r="A118" s="172" t="s">
        <v>334</v>
      </c>
      <c r="B118" s="172"/>
      <c r="C118" s="172"/>
      <c r="D118" s="171" t="s">
        <v>740</v>
      </c>
      <c r="E118" s="195"/>
      <c r="F118" s="316">
        <f>F120+F121+F122+F123+F124+F125+F127+F132+F135+F136+F129+F134+F137+F130+F131+F128</f>
        <v>1994867</v>
      </c>
      <c r="G118" s="316">
        <f>G120+G121+G122+G123+G124+G125+G127+G132+G135+G136+G129+G134+G137+G130+G131+G128</f>
        <v>0</v>
      </c>
      <c r="H118" s="316">
        <f>H120+H121+H122+H123+H124+H125+H127+H132+H135+H136+H129+H134+H137+H130+H131+H128</f>
        <v>1994867</v>
      </c>
      <c r="I118" s="62">
        <f t="shared" si="4"/>
        <v>3989734</v>
      </c>
      <c r="K118" s="354">
        <f>H118-G118-F118</f>
        <v>0</v>
      </c>
    </row>
    <row r="119" spans="1:11" s="355" customFormat="1" ht="47.25">
      <c r="A119" s="172" t="s">
        <v>335</v>
      </c>
      <c r="B119" s="172"/>
      <c r="C119" s="172"/>
      <c r="D119" s="171" t="s">
        <v>740</v>
      </c>
      <c r="E119" s="195"/>
      <c r="F119" s="316">
        <f>F120+F121+F122+F123+F124+F125+F126+F132+F135+F136+F133+F137</f>
        <v>1994867</v>
      </c>
      <c r="G119" s="316">
        <f>G120+G121+G122+G123+G124+G125+G126+G132+G135+G136+G133+G137</f>
        <v>0</v>
      </c>
      <c r="H119" s="316">
        <f>H120+H121+H122+H123+H124+H125+H126+H132+H135+H136+H133+H137</f>
        <v>1994867</v>
      </c>
      <c r="I119" s="62">
        <f t="shared" si="4"/>
        <v>3989734</v>
      </c>
      <c r="K119" s="354">
        <f>H119-G119-F119</f>
        <v>0</v>
      </c>
    </row>
    <row r="120" spans="1:11" ht="47.25" hidden="1">
      <c r="A120" s="27" t="s">
        <v>278</v>
      </c>
      <c r="B120" s="27" t="s">
        <v>23</v>
      </c>
      <c r="C120" s="27" t="s">
        <v>24</v>
      </c>
      <c r="D120" s="26" t="s">
        <v>536</v>
      </c>
      <c r="E120" s="207"/>
      <c r="F120" s="33"/>
      <c r="G120" s="33"/>
      <c r="H120" s="33">
        <f t="shared" si="5"/>
        <v>0</v>
      </c>
      <c r="I120" s="62">
        <f t="shared" si="4"/>
        <v>0</v>
      </c>
    </row>
    <row r="121" spans="1:11" ht="31.5" hidden="1">
      <c r="A121" s="27" t="s">
        <v>470</v>
      </c>
      <c r="B121" s="27" t="s">
        <v>11</v>
      </c>
      <c r="C121" s="27" t="s">
        <v>12</v>
      </c>
      <c r="D121" s="26" t="s">
        <v>517</v>
      </c>
      <c r="E121" s="207"/>
      <c r="F121" s="33"/>
      <c r="G121" s="33"/>
      <c r="H121" s="33">
        <f t="shared" si="5"/>
        <v>0</v>
      </c>
      <c r="I121" s="62">
        <f t="shared" si="4"/>
        <v>0</v>
      </c>
    </row>
    <row r="122" spans="1:11" ht="15.75" hidden="1">
      <c r="A122" s="27" t="s">
        <v>642</v>
      </c>
      <c r="B122" s="27" t="s">
        <v>643</v>
      </c>
      <c r="C122" s="27" t="s">
        <v>353</v>
      </c>
      <c r="D122" s="26" t="s">
        <v>644</v>
      </c>
      <c r="E122" s="199"/>
      <c r="F122" s="31"/>
      <c r="G122" s="31"/>
      <c r="H122" s="31">
        <f t="shared" si="5"/>
        <v>0</v>
      </c>
      <c r="I122" s="62">
        <f t="shared" si="4"/>
        <v>0</v>
      </c>
    </row>
    <row r="123" spans="1:11" ht="63" hidden="1">
      <c r="A123" s="27" t="s">
        <v>640</v>
      </c>
      <c r="B123" s="27" t="s">
        <v>352</v>
      </c>
      <c r="C123" s="27" t="s">
        <v>355</v>
      </c>
      <c r="D123" s="26" t="s">
        <v>645</v>
      </c>
      <c r="E123" s="207"/>
      <c r="F123" s="33"/>
      <c r="G123" s="33"/>
      <c r="H123" s="33">
        <f t="shared" si="5"/>
        <v>0</v>
      </c>
      <c r="I123" s="62">
        <f t="shared" si="4"/>
        <v>0</v>
      </c>
    </row>
    <row r="124" spans="1:11" ht="46.9" hidden="1" customHeight="1">
      <c r="A124" s="27" t="s">
        <v>641</v>
      </c>
      <c r="B124" s="27" t="s">
        <v>354</v>
      </c>
      <c r="C124" s="27" t="s">
        <v>207</v>
      </c>
      <c r="D124" s="26" t="s">
        <v>585</v>
      </c>
      <c r="E124" s="207"/>
      <c r="F124" s="33"/>
      <c r="G124" s="33"/>
      <c r="H124" s="33">
        <f t="shared" si="5"/>
        <v>0</v>
      </c>
      <c r="I124" s="62">
        <f t="shared" si="4"/>
        <v>0</v>
      </c>
    </row>
    <row r="125" spans="1:11" ht="57.95" hidden="1" customHeight="1">
      <c r="A125" s="27" t="s">
        <v>646</v>
      </c>
      <c r="B125" s="27" t="s">
        <v>647</v>
      </c>
      <c r="C125" s="27" t="s">
        <v>207</v>
      </c>
      <c r="D125" s="26" t="s">
        <v>648</v>
      </c>
      <c r="E125" s="207"/>
      <c r="F125" s="33"/>
      <c r="G125" s="33"/>
      <c r="H125" s="33">
        <f t="shared" si="5"/>
        <v>0</v>
      </c>
      <c r="I125" s="62">
        <f t="shared" si="4"/>
        <v>0</v>
      </c>
    </row>
    <row r="126" spans="1:11" s="355" customFormat="1" ht="31.5">
      <c r="A126" s="165" t="s">
        <v>649</v>
      </c>
      <c r="B126" s="165" t="s">
        <v>650</v>
      </c>
      <c r="C126" s="165"/>
      <c r="D126" s="162" t="s">
        <v>651</v>
      </c>
      <c r="E126" s="202"/>
      <c r="F126" s="163">
        <f>SUM(F127:F131)</f>
        <v>1758867</v>
      </c>
      <c r="G126" s="163">
        <f>SUM(G127:G131)</f>
        <v>0</v>
      </c>
      <c r="H126" s="163">
        <f>SUM(H127:H131)</f>
        <v>1758867</v>
      </c>
      <c r="I126" s="62">
        <f t="shared" si="4"/>
        <v>3517734</v>
      </c>
      <c r="K126" s="354">
        <f t="shared" ref="K126:K134" si="7">H126-G126-F126</f>
        <v>0</v>
      </c>
    </row>
    <row r="127" spans="1:11" s="186" customFormat="1" ht="47.25">
      <c r="A127" s="179" t="s">
        <v>800</v>
      </c>
      <c r="B127" s="179" t="s">
        <v>801</v>
      </c>
      <c r="C127" s="179" t="s">
        <v>356</v>
      </c>
      <c r="D127" s="29" t="s">
        <v>802</v>
      </c>
      <c r="E127" s="206" t="s">
        <v>1001</v>
      </c>
      <c r="F127" s="32">
        <v>465962</v>
      </c>
      <c r="G127" s="32"/>
      <c r="H127" s="32">
        <f t="shared" si="5"/>
        <v>465962</v>
      </c>
      <c r="I127" s="62">
        <f t="shared" si="4"/>
        <v>931924</v>
      </c>
      <c r="K127" s="354">
        <f t="shared" si="7"/>
        <v>0</v>
      </c>
    </row>
    <row r="128" spans="1:11" s="186" customFormat="1" ht="45">
      <c r="A128" s="179" t="s">
        <v>800</v>
      </c>
      <c r="B128" s="179" t="s">
        <v>801</v>
      </c>
      <c r="C128" s="179" t="s">
        <v>356</v>
      </c>
      <c r="D128" s="29" t="s">
        <v>802</v>
      </c>
      <c r="E128" s="271" t="s">
        <v>1038</v>
      </c>
      <c r="F128" s="32">
        <v>739905</v>
      </c>
      <c r="G128" s="32"/>
      <c r="H128" s="32">
        <f t="shared" si="5"/>
        <v>739905</v>
      </c>
      <c r="I128" s="62">
        <f t="shared" si="4"/>
        <v>1479810</v>
      </c>
      <c r="K128" s="354">
        <f t="shared" si="7"/>
        <v>0</v>
      </c>
    </row>
    <row r="129" spans="1:13" s="355" customFormat="1" ht="47.25">
      <c r="A129" s="1197" t="s">
        <v>906</v>
      </c>
      <c r="B129" s="1197" t="s">
        <v>907</v>
      </c>
      <c r="C129" s="1197" t="s">
        <v>356</v>
      </c>
      <c r="D129" s="1202" t="s">
        <v>947</v>
      </c>
      <c r="E129" s="206" t="s">
        <v>1002</v>
      </c>
      <c r="F129" s="261">
        <v>157000</v>
      </c>
      <c r="G129" s="261"/>
      <c r="H129" s="261">
        <f t="shared" si="5"/>
        <v>157000</v>
      </c>
      <c r="I129" s="62">
        <f t="shared" si="4"/>
        <v>314000</v>
      </c>
      <c r="K129" s="354">
        <f t="shared" si="7"/>
        <v>0</v>
      </c>
    </row>
    <row r="130" spans="1:13" s="355" customFormat="1" ht="31.5">
      <c r="A130" s="1201"/>
      <c r="B130" s="1201"/>
      <c r="C130" s="1201"/>
      <c r="D130" s="1203"/>
      <c r="E130" s="206" t="s">
        <v>1003</v>
      </c>
      <c r="F130" s="261">
        <v>55000</v>
      </c>
      <c r="G130" s="261"/>
      <c r="H130" s="261">
        <f t="shared" si="5"/>
        <v>55000</v>
      </c>
      <c r="I130" s="62">
        <f t="shared" si="4"/>
        <v>110000</v>
      </c>
      <c r="K130" s="354">
        <f t="shared" si="7"/>
        <v>0</v>
      </c>
    </row>
    <row r="131" spans="1:13" s="355" customFormat="1" ht="31.5">
      <c r="A131" s="1198"/>
      <c r="B131" s="1198"/>
      <c r="C131" s="1198"/>
      <c r="D131" s="1204"/>
      <c r="E131" s="206" t="s">
        <v>1003</v>
      </c>
      <c r="F131" s="261">
        <v>341000</v>
      </c>
      <c r="G131" s="261"/>
      <c r="H131" s="261">
        <f t="shared" si="5"/>
        <v>341000</v>
      </c>
      <c r="I131" s="62">
        <f t="shared" si="4"/>
        <v>682000</v>
      </c>
      <c r="K131" s="354">
        <f t="shared" si="7"/>
        <v>0</v>
      </c>
    </row>
    <row r="132" spans="1:13" s="355" customFormat="1" ht="47.25">
      <c r="A132" s="179" t="s">
        <v>656</v>
      </c>
      <c r="B132" s="179" t="s">
        <v>481</v>
      </c>
      <c r="C132" s="179" t="s">
        <v>654</v>
      </c>
      <c r="D132" s="29" t="s">
        <v>657</v>
      </c>
      <c r="E132" s="206" t="s">
        <v>1002</v>
      </c>
      <c r="F132" s="259">
        <v>120000</v>
      </c>
      <c r="G132" s="259"/>
      <c r="H132" s="259">
        <f>F132+G132</f>
        <v>120000</v>
      </c>
      <c r="I132" s="62">
        <f t="shared" si="4"/>
        <v>240000</v>
      </c>
      <c r="K132" s="354">
        <f t="shared" si="7"/>
        <v>0</v>
      </c>
    </row>
    <row r="133" spans="1:13" s="355" customFormat="1" ht="31.5">
      <c r="A133" s="165" t="s">
        <v>911</v>
      </c>
      <c r="B133" s="165" t="s">
        <v>912</v>
      </c>
      <c r="C133" s="165"/>
      <c r="D133" s="162" t="s">
        <v>915</v>
      </c>
      <c r="E133" s="202"/>
      <c r="F133" s="163">
        <f>F134</f>
        <v>116000</v>
      </c>
      <c r="G133" s="163">
        <f>G134</f>
        <v>0</v>
      </c>
      <c r="H133" s="163">
        <f>F133+G133</f>
        <v>116000</v>
      </c>
      <c r="I133" s="62">
        <f t="shared" si="4"/>
        <v>232000</v>
      </c>
      <c r="K133" s="354">
        <f t="shared" si="7"/>
        <v>0</v>
      </c>
    </row>
    <row r="134" spans="1:13" s="355" customFormat="1" ht="45">
      <c r="A134" s="179" t="s">
        <v>913</v>
      </c>
      <c r="B134" s="179" t="s">
        <v>914</v>
      </c>
      <c r="C134" s="179" t="s">
        <v>917</v>
      </c>
      <c r="D134" s="29" t="s">
        <v>916</v>
      </c>
      <c r="E134" s="271" t="s">
        <v>1038</v>
      </c>
      <c r="F134" s="259">
        <v>116000</v>
      </c>
      <c r="G134" s="259"/>
      <c r="H134" s="259">
        <f>F134+G134</f>
        <v>116000</v>
      </c>
      <c r="I134" s="62">
        <f t="shared" si="4"/>
        <v>232000</v>
      </c>
      <c r="K134" s="354">
        <f t="shared" si="7"/>
        <v>0</v>
      </c>
    </row>
    <row r="135" spans="1:13" ht="34.5" hidden="1">
      <c r="A135" s="27" t="s">
        <v>652</v>
      </c>
      <c r="B135" s="27" t="s">
        <v>653</v>
      </c>
      <c r="C135" s="27" t="s">
        <v>654</v>
      </c>
      <c r="D135" s="26" t="s">
        <v>655</v>
      </c>
      <c r="E135" s="207"/>
      <c r="F135" s="33"/>
      <c r="G135" s="33"/>
      <c r="H135" s="33">
        <f t="shared" si="5"/>
        <v>0</v>
      </c>
      <c r="I135" s="62">
        <f t="shared" si="4"/>
        <v>0</v>
      </c>
    </row>
    <row r="136" spans="1:13" ht="38.1" hidden="1" customHeight="1">
      <c r="A136" s="27" t="s">
        <v>658</v>
      </c>
      <c r="B136" s="27" t="s">
        <v>659</v>
      </c>
      <c r="C136" s="27" t="s">
        <v>357</v>
      </c>
      <c r="D136" s="26" t="s">
        <v>660</v>
      </c>
      <c r="E136" s="206"/>
      <c r="F136" s="259"/>
      <c r="G136" s="259"/>
      <c r="H136" s="259">
        <f t="shared" si="5"/>
        <v>0</v>
      </c>
      <c r="I136" s="62">
        <f t="shared" si="4"/>
        <v>0</v>
      </c>
    </row>
    <row r="137" spans="1:13" s="355" customFormat="1" ht="36" hidden="1" customHeight="1">
      <c r="A137" s="27" t="s">
        <v>908</v>
      </c>
      <c r="B137" s="27" t="s">
        <v>909</v>
      </c>
      <c r="C137" s="27" t="s">
        <v>357</v>
      </c>
      <c r="D137" s="26" t="s">
        <v>910</v>
      </c>
      <c r="E137" s="271" t="s">
        <v>1038</v>
      </c>
      <c r="F137" s="259"/>
      <c r="G137" s="259"/>
      <c r="H137" s="259">
        <f t="shared" si="5"/>
        <v>0</v>
      </c>
      <c r="I137" s="62">
        <f t="shared" si="4"/>
        <v>0</v>
      </c>
      <c r="K137" s="354">
        <f t="shared" ref="K137:K148" si="8">H137-G137-F137</f>
        <v>0</v>
      </c>
    </row>
    <row r="138" spans="1:13" s="355" customFormat="1" ht="51.6" customHeight="1">
      <c r="A138" s="172" t="s">
        <v>421</v>
      </c>
      <c r="B138" s="172"/>
      <c r="C138" s="172"/>
      <c r="D138" s="171" t="s">
        <v>1818</v>
      </c>
      <c r="E138" s="195"/>
      <c r="F138" s="317">
        <f>+F141+F144+F150+F151+F153+F155+F158+F159+F161+F162+F163+F165+F166+F167+F169+F170+F177+F172+F143+F145+F147+F148+F154+F156+F175+F142+F174</f>
        <v>70715699</v>
      </c>
      <c r="G138" s="317">
        <f>+G141+G144+G150+G151+G153+G155+G158+G159+G161+G162+G163+G165+G166+G167+G169+G170+G177+G172+G143+G145+G147+G148+G154+G156+G175+G142+G174</f>
        <v>5097411</v>
      </c>
      <c r="H138" s="317">
        <f>+H141+H144+H150+H151+H153+H155+H158+H159+H161+H162+H163+H165+H166+H167+H169+H170+H177+H172+H143+H145+H147+H148+H154+H156+H175+H142+H174</f>
        <v>75813110</v>
      </c>
      <c r="I138" s="62">
        <f t="shared" si="4"/>
        <v>151626220</v>
      </c>
      <c r="K138" s="354">
        <f>H138-G138-F138</f>
        <v>0</v>
      </c>
    </row>
    <row r="139" spans="1:13" s="355" customFormat="1" ht="51.6" customHeight="1">
      <c r="A139" s="172" t="s">
        <v>422</v>
      </c>
      <c r="B139" s="172"/>
      <c r="C139" s="172"/>
      <c r="D139" s="171" t="s">
        <v>1818</v>
      </c>
      <c r="E139" s="195"/>
      <c r="F139" s="317">
        <f>+F140+F144+F149+F152+F157+F160+F164+F168+F176+F172+F145+F146+F148+F175+F173</f>
        <v>70715699</v>
      </c>
      <c r="G139" s="317">
        <f>+G140+G144+G149+G152+G157+G160+G164+G168+G176+G172+G145+G146+G148+G175+G173</f>
        <v>5097411</v>
      </c>
      <c r="H139" s="317">
        <f>+H140+H144+H149+H152+H157+H160+H164+H168+H176+H172+H145+H146+H148+H175+H173</f>
        <v>75813110</v>
      </c>
      <c r="I139" s="62">
        <f t="shared" ref="I139:I202" si="9">SUM(F139:H139)</f>
        <v>151626220</v>
      </c>
      <c r="J139" s="386"/>
      <c r="K139" s="354">
        <f>H139-G139-F139</f>
        <v>0</v>
      </c>
      <c r="L139" s="354">
        <f>G139-G176-G172</f>
        <v>4523820</v>
      </c>
      <c r="M139" s="354">
        <f>H139-H176-H172</f>
        <v>74448219</v>
      </c>
    </row>
    <row r="140" spans="1:13" s="357" customFormat="1" ht="31.5">
      <c r="A140" s="165" t="s">
        <v>427</v>
      </c>
      <c r="B140" s="165" t="s">
        <v>428</v>
      </c>
      <c r="C140" s="165"/>
      <c r="D140" s="162" t="s">
        <v>258</v>
      </c>
      <c r="E140" s="202"/>
      <c r="F140" s="163">
        <f>F141+F143+F142</f>
        <v>1397200</v>
      </c>
      <c r="G140" s="163">
        <f>G141+G143+G142</f>
        <v>0</v>
      </c>
      <c r="H140" s="163">
        <f>H141+H143+H142</f>
        <v>1397200</v>
      </c>
      <c r="I140" s="62">
        <f t="shared" si="9"/>
        <v>2794400</v>
      </c>
      <c r="K140" s="354">
        <f t="shared" si="8"/>
        <v>0</v>
      </c>
    </row>
    <row r="141" spans="1:13" s="355" customFormat="1" ht="62.45" customHeight="1">
      <c r="A141" s="1197" t="s">
        <v>435</v>
      </c>
      <c r="B141" s="1197" t="s">
        <v>436</v>
      </c>
      <c r="C141" s="1197" t="s">
        <v>14</v>
      </c>
      <c r="D141" s="1199" t="s">
        <v>259</v>
      </c>
      <c r="E141" s="206" t="s">
        <v>1004</v>
      </c>
      <c r="F141" s="259">
        <v>795200</v>
      </c>
      <c r="G141" s="259"/>
      <c r="H141" s="259">
        <f t="shared" si="5"/>
        <v>795200</v>
      </c>
      <c r="I141" s="62">
        <f t="shared" si="9"/>
        <v>1590400</v>
      </c>
      <c r="K141" s="354">
        <f t="shared" si="8"/>
        <v>0</v>
      </c>
    </row>
    <row r="142" spans="1:13" s="355" customFormat="1" ht="47.25">
      <c r="A142" s="1198"/>
      <c r="B142" s="1198"/>
      <c r="C142" s="1198"/>
      <c r="D142" s="1200"/>
      <c r="E142" s="206" t="s">
        <v>1949</v>
      </c>
      <c r="F142" s="259">
        <v>582000</v>
      </c>
      <c r="G142" s="259"/>
      <c r="H142" s="259">
        <f>F142+G142</f>
        <v>582000</v>
      </c>
      <c r="I142" s="62">
        <f t="shared" si="9"/>
        <v>1164000</v>
      </c>
      <c r="K142" s="354"/>
    </row>
    <row r="143" spans="1:13" s="355" customFormat="1" ht="59.25" customHeight="1">
      <c r="A143" s="179" t="s">
        <v>437</v>
      </c>
      <c r="B143" s="179" t="s">
        <v>438</v>
      </c>
      <c r="C143" s="179" t="s">
        <v>14</v>
      </c>
      <c r="D143" s="29" t="s">
        <v>918</v>
      </c>
      <c r="E143" s="206" t="s">
        <v>1004</v>
      </c>
      <c r="F143" s="259">
        <v>20000</v>
      </c>
      <c r="G143" s="259"/>
      <c r="H143" s="259">
        <f t="shared" si="5"/>
        <v>20000</v>
      </c>
      <c r="I143" s="62">
        <f t="shared" si="9"/>
        <v>40000</v>
      </c>
      <c r="K143" s="354">
        <f t="shared" si="8"/>
        <v>0</v>
      </c>
    </row>
    <row r="144" spans="1:13" s="355" customFormat="1" ht="78.75">
      <c r="A144" s="27" t="s">
        <v>439</v>
      </c>
      <c r="B144" s="27" t="s">
        <v>440</v>
      </c>
      <c r="C144" s="27" t="s">
        <v>14</v>
      </c>
      <c r="D144" s="26" t="s">
        <v>189</v>
      </c>
      <c r="E144" s="207" t="s">
        <v>992</v>
      </c>
      <c r="F144" s="33">
        <v>9586000</v>
      </c>
      <c r="G144" s="33"/>
      <c r="H144" s="33">
        <f t="shared" si="5"/>
        <v>9586000</v>
      </c>
      <c r="I144" s="62">
        <f t="shared" si="9"/>
        <v>19172000</v>
      </c>
      <c r="K144" s="354">
        <f t="shared" si="8"/>
        <v>0</v>
      </c>
    </row>
    <row r="145" spans="1:11" s="355" customFormat="1" ht="78.75">
      <c r="A145" s="27" t="s">
        <v>439</v>
      </c>
      <c r="B145" s="27" t="s">
        <v>440</v>
      </c>
      <c r="C145" s="27" t="s">
        <v>14</v>
      </c>
      <c r="D145" s="26" t="s">
        <v>189</v>
      </c>
      <c r="E145" s="358" t="s">
        <v>1050</v>
      </c>
      <c r="F145" s="33"/>
      <c r="G145" s="375">
        <v>175117.4</v>
      </c>
      <c r="H145" s="375">
        <f t="shared" si="5"/>
        <v>175117.4</v>
      </c>
      <c r="I145" s="62">
        <f t="shared" si="9"/>
        <v>350234.8</v>
      </c>
      <c r="K145" s="354">
        <f t="shared" si="8"/>
        <v>0</v>
      </c>
    </row>
    <row r="146" spans="1:11" s="355" customFormat="1" ht="31.5">
      <c r="A146" s="165" t="s">
        <v>433</v>
      </c>
      <c r="B146" s="165" t="s">
        <v>434</v>
      </c>
      <c r="C146" s="165"/>
      <c r="D146" s="162" t="s">
        <v>260</v>
      </c>
      <c r="E146" s="1217" t="s">
        <v>1050</v>
      </c>
      <c r="F146" s="163">
        <f>F147</f>
        <v>0</v>
      </c>
      <c r="G146" s="163">
        <f>G147</f>
        <v>4098</v>
      </c>
      <c r="H146" s="163">
        <f>H147</f>
        <v>4098</v>
      </c>
      <c r="I146" s="62">
        <f t="shared" si="9"/>
        <v>8196</v>
      </c>
      <c r="K146" s="354">
        <f t="shared" si="8"/>
        <v>0</v>
      </c>
    </row>
    <row r="147" spans="1:11" s="355" customFormat="1" ht="47.25">
      <c r="A147" s="179" t="s">
        <v>297</v>
      </c>
      <c r="B147" s="179" t="s">
        <v>298</v>
      </c>
      <c r="C147" s="179" t="s">
        <v>374</v>
      </c>
      <c r="D147" s="29" t="s">
        <v>673</v>
      </c>
      <c r="E147" s="1218"/>
      <c r="F147" s="33"/>
      <c r="G147" s="33">
        <v>4098</v>
      </c>
      <c r="H147" s="33">
        <f t="shared" si="5"/>
        <v>4098</v>
      </c>
      <c r="I147" s="62">
        <f t="shared" si="9"/>
        <v>8196</v>
      </c>
      <c r="K147" s="354">
        <f t="shared" si="8"/>
        <v>0</v>
      </c>
    </row>
    <row r="148" spans="1:11" s="355" customFormat="1" ht="63">
      <c r="A148" s="27" t="s">
        <v>1047</v>
      </c>
      <c r="B148" s="27" t="s">
        <v>1048</v>
      </c>
      <c r="C148" s="27" t="s">
        <v>13</v>
      </c>
      <c r="D148" s="26" t="s">
        <v>1049</v>
      </c>
      <c r="E148" s="1219"/>
      <c r="F148" s="33"/>
      <c r="G148" s="375">
        <v>25728.6</v>
      </c>
      <c r="H148" s="375">
        <f t="shared" si="5"/>
        <v>25728.6</v>
      </c>
      <c r="I148" s="62">
        <f t="shared" si="9"/>
        <v>51457.2</v>
      </c>
      <c r="K148" s="354">
        <f t="shared" si="8"/>
        <v>0</v>
      </c>
    </row>
    <row r="149" spans="1:11" ht="15.75" hidden="1">
      <c r="A149" s="165" t="s">
        <v>670</v>
      </c>
      <c r="B149" s="165">
        <v>3240</v>
      </c>
      <c r="C149" s="165"/>
      <c r="D149" s="257" t="s">
        <v>497</v>
      </c>
      <c r="E149" s="202"/>
      <c r="F149" s="163">
        <f>SUM(F150:F151)</f>
        <v>0</v>
      </c>
      <c r="G149" s="163">
        <f>SUM(G150:G151)</f>
        <v>0</v>
      </c>
      <c r="H149" s="33">
        <f t="shared" si="5"/>
        <v>0</v>
      </c>
      <c r="I149" s="62">
        <f t="shared" si="9"/>
        <v>0</v>
      </c>
    </row>
    <row r="150" spans="1:11" ht="47.25" hidden="1">
      <c r="A150" s="27" t="s">
        <v>671</v>
      </c>
      <c r="B150" s="179" t="s">
        <v>624</v>
      </c>
      <c r="C150" s="179">
        <v>1090</v>
      </c>
      <c r="D150" s="29" t="s">
        <v>625</v>
      </c>
      <c r="E150" s="207"/>
      <c r="F150" s="33"/>
      <c r="G150" s="33"/>
      <c r="H150" s="33">
        <f t="shared" si="5"/>
        <v>0</v>
      </c>
      <c r="I150" s="62">
        <f t="shared" si="9"/>
        <v>0</v>
      </c>
    </row>
    <row r="151" spans="1:11" ht="62.1" hidden="1" customHeight="1">
      <c r="A151" s="27" t="s">
        <v>672</v>
      </c>
      <c r="B151" s="179">
        <v>3242</v>
      </c>
      <c r="C151" s="179">
        <v>1090</v>
      </c>
      <c r="D151" s="29" t="s">
        <v>498</v>
      </c>
      <c r="E151" s="207"/>
      <c r="F151" s="33"/>
      <c r="G151" s="33"/>
      <c r="H151" s="33">
        <f t="shared" si="5"/>
        <v>0</v>
      </c>
      <c r="I151" s="62">
        <f t="shared" si="9"/>
        <v>0</v>
      </c>
    </row>
    <row r="152" spans="1:11" s="355" customFormat="1" ht="15.75">
      <c r="A152" s="165" t="s">
        <v>429</v>
      </c>
      <c r="B152" s="165" t="s">
        <v>430</v>
      </c>
      <c r="C152" s="165"/>
      <c r="D152" s="162" t="s">
        <v>236</v>
      </c>
      <c r="E152" s="202"/>
      <c r="F152" s="163">
        <f>SUBTOTAL(9,F153:F156)</f>
        <v>8868900</v>
      </c>
      <c r="G152" s="163">
        <f>SUBTOTAL(9,G153:G156)</f>
        <v>0</v>
      </c>
      <c r="H152" s="163">
        <f>SUBTOTAL(9,H153:H156)</f>
        <v>8868900</v>
      </c>
      <c r="I152" s="62">
        <f t="shared" si="9"/>
        <v>17737800</v>
      </c>
      <c r="K152" s="354">
        <f t="shared" ref="K152:K179" si="10">H152-G152-F152</f>
        <v>0</v>
      </c>
    </row>
    <row r="153" spans="1:11" s="355" customFormat="1" ht="63.6" customHeight="1">
      <c r="A153" s="179" t="s">
        <v>442</v>
      </c>
      <c r="B153" s="179" t="s">
        <v>443</v>
      </c>
      <c r="C153" s="179" t="s">
        <v>374</v>
      </c>
      <c r="D153" s="29" t="s">
        <v>225</v>
      </c>
      <c r="E153" s="206" t="s">
        <v>993</v>
      </c>
      <c r="F153" s="259">
        <v>4460600</v>
      </c>
      <c r="G153" s="259"/>
      <c r="H153" s="259">
        <f t="shared" si="5"/>
        <v>4460600</v>
      </c>
      <c r="I153" s="62">
        <f t="shared" si="9"/>
        <v>8921200</v>
      </c>
      <c r="K153" s="354">
        <f t="shared" si="10"/>
        <v>0</v>
      </c>
    </row>
    <row r="154" spans="1:11" s="355" customFormat="1" ht="63.6" customHeight="1">
      <c r="A154" s="179" t="s">
        <v>442</v>
      </c>
      <c r="B154" s="179" t="s">
        <v>443</v>
      </c>
      <c r="C154" s="179" t="s">
        <v>374</v>
      </c>
      <c r="D154" s="29" t="s">
        <v>225</v>
      </c>
      <c r="E154" s="206" t="s">
        <v>1587</v>
      </c>
      <c r="F154" s="259">
        <v>1580000</v>
      </c>
      <c r="G154" s="259"/>
      <c r="H154" s="259">
        <f>F154+G154</f>
        <v>1580000</v>
      </c>
      <c r="I154" s="62">
        <f t="shared" si="9"/>
        <v>3160000</v>
      </c>
      <c r="K154" s="354">
        <f t="shared" si="10"/>
        <v>0</v>
      </c>
    </row>
    <row r="155" spans="1:11" s="355" customFormat="1" ht="47.25">
      <c r="A155" s="179" t="s">
        <v>444</v>
      </c>
      <c r="B155" s="179" t="s">
        <v>445</v>
      </c>
      <c r="C155" s="179" t="s">
        <v>374</v>
      </c>
      <c r="D155" s="29" t="s">
        <v>473</v>
      </c>
      <c r="E155" s="206" t="s">
        <v>993</v>
      </c>
      <c r="F155" s="259">
        <v>2493300</v>
      </c>
      <c r="G155" s="259"/>
      <c r="H155" s="259">
        <f>F155+G155</f>
        <v>2493300</v>
      </c>
      <c r="I155" s="62">
        <f t="shared" si="9"/>
        <v>4986600</v>
      </c>
      <c r="K155" s="354">
        <f t="shared" si="10"/>
        <v>0</v>
      </c>
    </row>
    <row r="156" spans="1:11" s="355" customFormat="1" ht="47.25">
      <c r="A156" s="179" t="s">
        <v>444</v>
      </c>
      <c r="B156" s="179" t="s">
        <v>445</v>
      </c>
      <c r="C156" s="179" t="s">
        <v>374</v>
      </c>
      <c r="D156" s="29" t="s">
        <v>473</v>
      </c>
      <c r="E156" s="206" t="s">
        <v>1587</v>
      </c>
      <c r="F156" s="259">
        <v>335000</v>
      </c>
      <c r="G156" s="259"/>
      <c r="H156" s="259">
        <f>F156+G156</f>
        <v>335000</v>
      </c>
      <c r="I156" s="62">
        <f t="shared" si="9"/>
        <v>670000</v>
      </c>
      <c r="K156" s="354">
        <f t="shared" si="10"/>
        <v>0</v>
      </c>
    </row>
    <row r="157" spans="1:11" s="355" customFormat="1" ht="47.25">
      <c r="A157" s="165" t="s">
        <v>432</v>
      </c>
      <c r="B157" s="165" t="s">
        <v>372</v>
      </c>
      <c r="C157" s="165"/>
      <c r="D157" s="162" t="s">
        <v>1019</v>
      </c>
      <c r="E157" s="202"/>
      <c r="F157" s="163">
        <f>SUBTOTAL(9,F158:F159)</f>
        <v>3582024</v>
      </c>
      <c r="G157" s="163">
        <f>SUBTOTAL(9,G158:G159)</f>
        <v>11876</v>
      </c>
      <c r="H157" s="163">
        <f t="shared" si="5"/>
        <v>3593900</v>
      </c>
      <c r="I157" s="62">
        <f t="shared" si="9"/>
        <v>7187800</v>
      </c>
      <c r="K157" s="354">
        <f t="shared" si="10"/>
        <v>0</v>
      </c>
    </row>
    <row r="158" spans="1:11" s="355" customFormat="1" ht="47.25">
      <c r="A158" s="179" t="s">
        <v>431</v>
      </c>
      <c r="B158" s="179" t="s">
        <v>446</v>
      </c>
      <c r="C158" s="179" t="s">
        <v>374</v>
      </c>
      <c r="D158" s="29" t="s">
        <v>1017</v>
      </c>
      <c r="E158" s="206" t="s">
        <v>993</v>
      </c>
      <c r="F158" s="259">
        <v>3292424</v>
      </c>
      <c r="G158" s="259">
        <v>11876</v>
      </c>
      <c r="H158" s="259">
        <f t="shared" ref="H158:H235" si="11">F158+G158</f>
        <v>3304300</v>
      </c>
      <c r="I158" s="62">
        <f t="shared" si="9"/>
        <v>6608600</v>
      </c>
      <c r="K158" s="354">
        <f t="shared" si="10"/>
        <v>0</v>
      </c>
    </row>
    <row r="159" spans="1:11" s="355" customFormat="1" ht="47.25">
      <c r="A159" s="179" t="s">
        <v>447</v>
      </c>
      <c r="B159" s="179" t="s">
        <v>373</v>
      </c>
      <c r="C159" s="179" t="s">
        <v>374</v>
      </c>
      <c r="D159" s="29" t="s">
        <v>1018</v>
      </c>
      <c r="E159" s="206" t="s">
        <v>993</v>
      </c>
      <c r="F159" s="259">
        <v>289600</v>
      </c>
      <c r="G159" s="259"/>
      <c r="H159" s="259">
        <f t="shared" si="11"/>
        <v>289600</v>
      </c>
      <c r="I159" s="62">
        <f t="shared" si="9"/>
        <v>579200</v>
      </c>
      <c r="K159" s="354">
        <f t="shared" si="10"/>
        <v>0</v>
      </c>
    </row>
    <row r="160" spans="1:11" ht="31.5">
      <c r="A160" s="165" t="s">
        <v>433</v>
      </c>
      <c r="B160" s="165" t="s">
        <v>434</v>
      </c>
      <c r="C160" s="165"/>
      <c r="D160" s="162" t="s">
        <v>260</v>
      </c>
      <c r="E160" s="202"/>
      <c r="F160" s="163">
        <f>SUBTOTAL(9,F161:F163)</f>
        <v>38692425</v>
      </c>
      <c r="G160" s="163">
        <f>SUBTOTAL(9,G161:G163)</f>
        <v>4307000</v>
      </c>
      <c r="H160" s="163">
        <f t="shared" si="11"/>
        <v>42999425</v>
      </c>
      <c r="I160" s="62">
        <f t="shared" si="9"/>
        <v>85998850</v>
      </c>
      <c r="K160" s="62">
        <f t="shared" si="10"/>
        <v>0</v>
      </c>
    </row>
    <row r="161" spans="1:11" ht="69" customHeight="1">
      <c r="A161" s="179" t="s">
        <v>448</v>
      </c>
      <c r="B161" s="179" t="s">
        <v>449</v>
      </c>
      <c r="C161" s="179" t="s">
        <v>374</v>
      </c>
      <c r="D161" s="29" t="s">
        <v>63</v>
      </c>
      <c r="E161" s="206" t="s">
        <v>993</v>
      </c>
      <c r="F161" s="259">
        <v>24651425</v>
      </c>
      <c r="G161" s="259">
        <v>1657400</v>
      </c>
      <c r="H161" s="259">
        <f t="shared" si="11"/>
        <v>26308825</v>
      </c>
      <c r="I161" s="62">
        <f t="shared" si="9"/>
        <v>52617650</v>
      </c>
      <c r="K161" s="62">
        <f t="shared" si="10"/>
        <v>0</v>
      </c>
    </row>
    <row r="162" spans="1:11" ht="70.5" customHeight="1">
      <c r="A162" s="179" t="s">
        <v>450</v>
      </c>
      <c r="B162" s="179" t="s">
        <v>451</v>
      </c>
      <c r="C162" s="179" t="s">
        <v>374</v>
      </c>
      <c r="D162" s="29" t="s">
        <v>344</v>
      </c>
      <c r="E162" s="206" t="s">
        <v>993</v>
      </c>
      <c r="F162" s="259">
        <v>3764300</v>
      </c>
      <c r="G162" s="259">
        <v>82000</v>
      </c>
      <c r="H162" s="259">
        <f t="shared" si="11"/>
        <v>3846300</v>
      </c>
      <c r="I162" s="62">
        <f t="shared" si="9"/>
        <v>7692600</v>
      </c>
      <c r="K162" s="62">
        <f t="shared" si="10"/>
        <v>0</v>
      </c>
    </row>
    <row r="163" spans="1:11" ht="47.25">
      <c r="A163" s="179" t="s">
        <v>297</v>
      </c>
      <c r="B163" s="179" t="s">
        <v>298</v>
      </c>
      <c r="C163" s="179" t="s">
        <v>374</v>
      </c>
      <c r="D163" s="29" t="s">
        <v>673</v>
      </c>
      <c r="E163" s="206" t="s">
        <v>993</v>
      </c>
      <c r="F163" s="259">
        <v>10276700</v>
      </c>
      <c r="G163" s="259">
        <v>2567600</v>
      </c>
      <c r="H163" s="259">
        <f t="shared" si="11"/>
        <v>12844300</v>
      </c>
      <c r="I163" s="62">
        <f t="shared" si="9"/>
        <v>25688600</v>
      </c>
      <c r="K163" s="62">
        <f t="shared" si="10"/>
        <v>0</v>
      </c>
    </row>
    <row r="164" spans="1:11" ht="39" customHeight="1">
      <c r="A164" s="165" t="s">
        <v>261</v>
      </c>
      <c r="B164" s="165" t="s">
        <v>262</v>
      </c>
      <c r="C164" s="165"/>
      <c r="D164" s="162" t="s">
        <v>263</v>
      </c>
      <c r="E164" s="202"/>
      <c r="F164" s="163">
        <f>SUBTOTAL(9,F165:F167)</f>
        <v>2290700</v>
      </c>
      <c r="G164" s="163">
        <f>SUBTOTAL(9,G165:G167)</f>
        <v>0</v>
      </c>
      <c r="H164" s="163">
        <f t="shared" si="11"/>
        <v>2290700</v>
      </c>
      <c r="I164" s="62">
        <f t="shared" si="9"/>
        <v>4581400</v>
      </c>
      <c r="K164" s="62">
        <f t="shared" si="10"/>
        <v>0</v>
      </c>
    </row>
    <row r="165" spans="1:11" ht="78.75">
      <c r="A165" s="184" t="s">
        <v>264</v>
      </c>
      <c r="B165" s="184" t="s">
        <v>265</v>
      </c>
      <c r="C165" s="184" t="s">
        <v>374</v>
      </c>
      <c r="D165" s="185" t="s">
        <v>266</v>
      </c>
      <c r="E165" s="206" t="s">
        <v>993</v>
      </c>
      <c r="F165" s="259">
        <v>653900</v>
      </c>
      <c r="G165" s="259"/>
      <c r="H165" s="259">
        <f t="shared" si="11"/>
        <v>653900</v>
      </c>
      <c r="I165" s="62">
        <f t="shared" si="9"/>
        <v>1307800</v>
      </c>
      <c r="K165" s="62">
        <f t="shared" si="10"/>
        <v>0</v>
      </c>
    </row>
    <row r="166" spans="1:11" ht="94.5">
      <c r="A166" s="184" t="s">
        <v>267</v>
      </c>
      <c r="B166" s="184" t="s">
        <v>268</v>
      </c>
      <c r="C166" s="184" t="s">
        <v>374</v>
      </c>
      <c r="D166" s="185" t="s">
        <v>73</v>
      </c>
      <c r="E166" s="206" t="s">
        <v>993</v>
      </c>
      <c r="F166" s="259">
        <v>219700</v>
      </c>
      <c r="G166" s="259"/>
      <c r="H166" s="259">
        <f t="shared" si="11"/>
        <v>219700</v>
      </c>
      <c r="I166" s="62">
        <f t="shared" si="9"/>
        <v>439400</v>
      </c>
      <c r="K166" s="62">
        <f t="shared" si="10"/>
        <v>0</v>
      </c>
    </row>
    <row r="167" spans="1:11" ht="63">
      <c r="A167" s="179" t="s">
        <v>74</v>
      </c>
      <c r="B167" s="179" t="s">
        <v>75</v>
      </c>
      <c r="C167" s="179" t="s">
        <v>374</v>
      </c>
      <c r="D167" s="29" t="s">
        <v>76</v>
      </c>
      <c r="E167" s="206" t="s">
        <v>993</v>
      </c>
      <c r="F167" s="259">
        <v>1417100</v>
      </c>
      <c r="G167" s="259"/>
      <c r="H167" s="259">
        <f t="shared" si="11"/>
        <v>1417100</v>
      </c>
      <c r="I167" s="62">
        <f t="shared" si="9"/>
        <v>2834200</v>
      </c>
      <c r="K167" s="62">
        <f t="shared" si="10"/>
        <v>0</v>
      </c>
    </row>
    <row r="168" spans="1:11" ht="31.5">
      <c r="A168" s="165" t="s">
        <v>299</v>
      </c>
      <c r="B168" s="165" t="s">
        <v>300</v>
      </c>
      <c r="C168" s="165"/>
      <c r="D168" s="162" t="s">
        <v>77</v>
      </c>
      <c r="E168" s="202"/>
      <c r="F168" s="349">
        <f>F169+F170</f>
        <v>5507150</v>
      </c>
      <c r="G168" s="163">
        <f>G169+G170</f>
        <v>0</v>
      </c>
      <c r="H168" s="349">
        <f t="shared" si="11"/>
        <v>5507150</v>
      </c>
      <c r="I168" s="62">
        <f t="shared" si="9"/>
        <v>11014300</v>
      </c>
      <c r="K168" s="62">
        <f t="shared" si="10"/>
        <v>0</v>
      </c>
    </row>
    <row r="169" spans="1:11" ht="78.75">
      <c r="A169" s="184" t="s">
        <v>78</v>
      </c>
      <c r="B169" s="184" t="s">
        <v>79</v>
      </c>
      <c r="C169" s="184" t="s">
        <v>374</v>
      </c>
      <c r="D169" s="185" t="s">
        <v>405</v>
      </c>
      <c r="E169" s="206" t="s">
        <v>993</v>
      </c>
      <c r="F169" s="259">
        <v>961700</v>
      </c>
      <c r="G169" s="259"/>
      <c r="H169" s="259">
        <f t="shared" si="11"/>
        <v>961700</v>
      </c>
      <c r="I169" s="62">
        <f t="shared" si="9"/>
        <v>1923400</v>
      </c>
      <c r="K169" s="62">
        <f t="shared" si="10"/>
        <v>0</v>
      </c>
    </row>
    <row r="170" spans="1:11" ht="63">
      <c r="A170" s="184" t="s">
        <v>408</v>
      </c>
      <c r="B170" s="184" t="s">
        <v>407</v>
      </c>
      <c r="C170" s="184" t="s">
        <v>374</v>
      </c>
      <c r="D170" s="185" t="s">
        <v>406</v>
      </c>
      <c r="E170" s="206" t="s">
        <v>993</v>
      </c>
      <c r="F170" s="406">
        <v>4545450</v>
      </c>
      <c r="G170" s="406"/>
      <c r="H170" s="406">
        <f t="shared" si="11"/>
        <v>4545450</v>
      </c>
      <c r="I170" s="62">
        <f t="shared" si="9"/>
        <v>9090900</v>
      </c>
      <c r="K170" s="62">
        <f t="shared" si="10"/>
        <v>0</v>
      </c>
    </row>
    <row r="171" spans="1:11" ht="36" customHeight="1">
      <c r="A171" s="165" t="s">
        <v>959</v>
      </c>
      <c r="B171" s="165" t="s">
        <v>960</v>
      </c>
      <c r="C171" s="165"/>
      <c r="D171" s="162" t="s">
        <v>1005</v>
      </c>
      <c r="E171" s="202"/>
      <c r="F171" s="163">
        <f>F172</f>
        <v>44800</v>
      </c>
      <c r="G171" s="163">
        <f>G172</f>
        <v>32457</v>
      </c>
      <c r="H171" s="163">
        <f>H172</f>
        <v>77257</v>
      </c>
      <c r="I171" s="62">
        <f t="shared" si="9"/>
        <v>154514</v>
      </c>
      <c r="K171" s="62">
        <f t="shared" si="10"/>
        <v>0</v>
      </c>
    </row>
    <row r="172" spans="1:11" ht="84.75" customHeight="1">
      <c r="A172" s="179" t="s">
        <v>680</v>
      </c>
      <c r="B172" s="179" t="s">
        <v>679</v>
      </c>
      <c r="C172" s="179" t="s">
        <v>681</v>
      </c>
      <c r="D172" s="29" t="s">
        <v>976</v>
      </c>
      <c r="E172" s="281" t="s">
        <v>1006</v>
      </c>
      <c r="F172" s="259">
        <v>44800</v>
      </c>
      <c r="G172" s="259">
        <v>32457</v>
      </c>
      <c r="H172" s="259">
        <f t="shared" si="11"/>
        <v>77257</v>
      </c>
      <c r="I172" s="62">
        <f t="shared" si="9"/>
        <v>154514</v>
      </c>
      <c r="K172" s="62">
        <f t="shared" si="10"/>
        <v>0</v>
      </c>
    </row>
    <row r="173" spans="1:11" ht="41.25" hidden="1">
      <c r="A173" s="165" t="s">
        <v>2539</v>
      </c>
      <c r="B173" s="165" t="s">
        <v>708</v>
      </c>
      <c r="C173" s="165"/>
      <c r="D173" s="162" t="s">
        <v>2541</v>
      </c>
      <c r="E173" s="162"/>
      <c r="F173" s="275">
        <f>F174</f>
        <v>0</v>
      </c>
      <c r="G173" s="379">
        <f>G174</f>
        <v>0</v>
      </c>
      <c r="H173" s="379">
        <f>H174</f>
        <v>0</v>
      </c>
      <c r="I173" s="62">
        <f t="shared" si="9"/>
        <v>0</v>
      </c>
      <c r="K173" s="62"/>
    </row>
    <row r="174" spans="1:11" ht="60" hidden="1">
      <c r="A174" s="179" t="s">
        <v>2540</v>
      </c>
      <c r="B174" s="179" t="s">
        <v>923</v>
      </c>
      <c r="C174" s="179" t="s">
        <v>654</v>
      </c>
      <c r="D174" s="29" t="s">
        <v>2542</v>
      </c>
      <c r="E174" s="206" t="s">
        <v>993</v>
      </c>
      <c r="F174" s="29"/>
      <c r="G174" s="259"/>
      <c r="H174" s="259">
        <f t="shared" si="11"/>
        <v>0</v>
      </c>
      <c r="I174" s="62">
        <f t="shared" si="9"/>
        <v>0</v>
      </c>
      <c r="K174" s="62"/>
    </row>
    <row r="175" spans="1:11" ht="31.5" hidden="1">
      <c r="A175" s="27" t="s">
        <v>1135</v>
      </c>
      <c r="B175" s="27" t="s">
        <v>925</v>
      </c>
      <c r="C175" s="27" t="s">
        <v>358</v>
      </c>
      <c r="D175" s="26" t="s">
        <v>926</v>
      </c>
      <c r="E175" s="206" t="s">
        <v>1587</v>
      </c>
      <c r="F175" s="259"/>
      <c r="G175" s="259"/>
      <c r="H175" s="259">
        <f t="shared" si="11"/>
        <v>0</v>
      </c>
      <c r="I175" s="62">
        <f t="shared" si="9"/>
        <v>0</v>
      </c>
      <c r="K175" s="62">
        <f t="shared" si="10"/>
        <v>0</v>
      </c>
    </row>
    <row r="176" spans="1:11" ht="63">
      <c r="A176" s="165" t="s">
        <v>674</v>
      </c>
      <c r="B176" s="165" t="s">
        <v>675</v>
      </c>
      <c r="C176" s="165"/>
      <c r="D176" s="162" t="s">
        <v>789</v>
      </c>
      <c r="E176" s="202"/>
      <c r="F176" s="163">
        <f>F177</f>
        <v>746500</v>
      </c>
      <c r="G176" s="163">
        <f>G177</f>
        <v>541134</v>
      </c>
      <c r="H176" s="163">
        <f t="shared" si="11"/>
        <v>1287634</v>
      </c>
      <c r="I176" s="62">
        <f t="shared" si="9"/>
        <v>2575268</v>
      </c>
      <c r="K176" s="62">
        <f t="shared" si="10"/>
        <v>0</v>
      </c>
    </row>
    <row r="177" spans="1:11" ht="47.25">
      <c r="A177" s="255" t="s">
        <v>676</v>
      </c>
      <c r="B177" s="255" t="s">
        <v>677</v>
      </c>
      <c r="C177" s="255" t="s">
        <v>88</v>
      </c>
      <c r="D177" s="258" t="s">
        <v>678</v>
      </c>
      <c r="E177" s="281" t="s">
        <v>1006</v>
      </c>
      <c r="F177" s="261">
        <v>746500</v>
      </c>
      <c r="G177" s="261">
        <v>541134</v>
      </c>
      <c r="H177" s="261">
        <f t="shared" si="11"/>
        <v>1287634</v>
      </c>
      <c r="I177" s="62">
        <f t="shared" si="9"/>
        <v>2575268</v>
      </c>
      <c r="K177" s="62">
        <f t="shared" si="10"/>
        <v>0</v>
      </c>
    </row>
    <row r="178" spans="1:11" ht="47.25">
      <c r="A178" s="172" t="s">
        <v>682</v>
      </c>
      <c r="B178" s="172"/>
      <c r="C178" s="172"/>
      <c r="D178" s="171" t="s">
        <v>1709</v>
      </c>
      <c r="E178" s="204"/>
      <c r="F178" s="317">
        <f>F213+F204+F183+F184+F187+F181+F194+F196+F189+F190+F191+F180+F203+F199+F193+F182+F215+F216+F218+F217+F195+F186+F185+F201+F205+F208+F211+F212+F210+F206+F200+F207</f>
        <v>6425500</v>
      </c>
      <c r="G178" s="317">
        <f>G213+G204+G183+G184+G187+G181+G194+G196+G189+G190+G191+G180+G203+G199+G193+G182+G215+G216+G218+G217+G195+G186+G185+G201+G205+G208+G211+G212+G210+G206+G200+G207</f>
        <v>24711254</v>
      </c>
      <c r="H178" s="317">
        <f>H213+H204+H183+H184+H187+H181+H194+H196+H189+H190+H191+H180+H203+H199+H193+H182+H215+H216+H218+H217+H195+H186+H185+H201+H205+H208+H211+H212+H210+H206+H200+H207</f>
        <v>31136754</v>
      </c>
      <c r="I178" s="62">
        <f t="shared" si="9"/>
        <v>62273508</v>
      </c>
      <c r="K178" s="62">
        <f t="shared" si="10"/>
        <v>0</v>
      </c>
    </row>
    <row r="179" spans="1:11" ht="47.25">
      <c r="A179" s="172" t="s">
        <v>683</v>
      </c>
      <c r="B179" s="172"/>
      <c r="C179" s="172"/>
      <c r="D179" s="171" t="s">
        <v>1709</v>
      </c>
      <c r="E179" s="204"/>
      <c r="F179" s="317">
        <f>F208+F213+F183+F184+F187+F181+F194+F196+F188+F180+F202+F198+F192+F182+F214+F218+F195+F186+F185+F201+F211+F212+F209+F206+F207+F210</f>
        <v>6425500</v>
      </c>
      <c r="G179" s="317">
        <f>G208+G213+G183+G184+G187+G181+G194+G196+G188+G180+G202+G198+G192+G182+G214+G218+G195+G186+G185+G201+G211+G212+G209+G206+G207+G210</f>
        <v>24711254</v>
      </c>
      <c r="H179" s="317">
        <f>H208+H213+H183+H184+H187+H181+H194+H196+H188+H180+H202+H198+H192+H182+H214+H218+H195+H186+H185+H201+H211+H212+H209+H206+H207+H210</f>
        <v>31136754</v>
      </c>
      <c r="I179" s="62">
        <f t="shared" si="9"/>
        <v>62273508</v>
      </c>
      <c r="K179" s="62">
        <f t="shared" si="10"/>
        <v>0</v>
      </c>
    </row>
    <row r="180" spans="1:11" ht="15.6" hidden="1" customHeight="1">
      <c r="A180" s="27" t="s">
        <v>684</v>
      </c>
      <c r="B180" s="27" t="s">
        <v>18</v>
      </c>
      <c r="C180" s="27" t="s">
        <v>15</v>
      </c>
      <c r="D180" s="26" t="s">
        <v>19</v>
      </c>
      <c r="E180" s="219"/>
      <c r="F180" s="321"/>
      <c r="G180" s="321"/>
      <c r="H180" s="321">
        <f t="shared" si="11"/>
        <v>0</v>
      </c>
      <c r="I180" s="62">
        <f t="shared" si="9"/>
        <v>0</v>
      </c>
    </row>
    <row r="181" spans="1:11" ht="47.25" hidden="1">
      <c r="A181" s="27" t="s">
        <v>685</v>
      </c>
      <c r="B181" s="27" t="s">
        <v>23</v>
      </c>
      <c r="C181" s="27" t="s">
        <v>24</v>
      </c>
      <c r="D181" s="26" t="s">
        <v>536</v>
      </c>
      <c r="E181" s="199"/>
      <c r="F181" s="31"/>
      <c r="G181" s="31"/>
      <c r="H181" s="31">
        <f t="shared" si="11"/>
        <v>0</v>
      </c>
      <c r="I181" s="62">
        <f t="shared" si="9"/>
        <v>0</v>
      </c>
    </row>
    <row r="182" spans="1:11" ht="47.25" hidden="1">
      <c r="A182" s="27" t="s">
        <v>686</v>
      </c>
      <c r="B182" s="27" t="s">
        <v>11</v>
      </c>
      <c r="C182" s="27" t="s">
        <v>12</v>
      </c>
      <c r="D182" s="26" t="s">
        <v>90</v>
      </c>
      <c r="E182" s="199"/>
      <c r="F182" s="31"/>
      <c r="G182" s="31"/>
      <c r="H182" s="31">
        <f t="shared" si="11"/>
        <v>0</v>
      </c>
      <c r="I182" s="62">
        <f t="shared" si="9"/>
        <v>0</v>
      </c>
    </row>
    <row r="183" spans="1:11" ht="31.5" hidden="1">
      <c r="A183" s="27" t="s">
        <v>687</v>
      </c>
      <c r="B183" s="27" t="s">
        <v>91</v>
      </c>
      <c r="C183" s="27" t="s">
        <v>162</v>
      </c>
      <c r="D183" s="26" t="s">
        <v>92</v>
      </c>
      <c r="E183" s="209"/>
      <c r="F183" s="319"/>
      <c r="G183" s="319"/>
      <c r="H183" s="319">
        <f t="shared" si="11"/>
        <v>0</v>
      </c>
      <c r="I183" s="62">
        <f t="shared" si="9"/>
        <v>0</v>
      </c>
    </row>
    <row r="184" spans="1:11" ht="31.5" hidden="1">
      <c r="A184" s="27" t="s">
        <v>697</v>
      </c>
      <c r="B184" s="27" t="s">
        <v>566</v>
      </c>
      <c r="C184" s="27" t="s">
        <v>94</v>
      </c>
      <c r="D184" s="26" t="s">
        <v>161</v>
      </c>
      <c r="E184" s="209"/>
      <c r="F184" s="319"/>
      <c r="G184" s="319"/>
      <c r="H184" s="319">
        <f t="shared" si="11"/>
        <v>0</v>
      </c>
      <c r="I184" s="62">
        <f t="shared" si="9"/>
        <v>0</v>
      </c>
    </row>
    <row r="185" spans="1:11" ht="31.5" hidden="1">
      <c r="A185" s="27" t="s">
        <v>688</v>
      </c>
      <c r="B185" s="27" t="s">
        <v>93</v>
      </c>
      <c r="C185" s="27" t="s">
        <v>345</v>
      </c>
      <c r="D185" s="26" t="s">
        <v>700</v>
      </c>
      <c r="E185" s="209"/>
      <c r="F185" s="319"/>
      <c r="G185" s="319"/>
      <c r="H185" s="319">
        <f t="shared" si="11"/>
        <v>0</v>
      </c>
      <c r="I185" s="62">
        <f t="shared" si="9"/>
        <v>0</v>
      </c>
    </row>
    <row r="186" spans="1:11" ht="31.5" hidden="1">
      <c r="A186" s="27" t="s">
        <v>698</v>
      </c>
      <c r="B186" s="27" t="s">
        <v>598</v>
      </c>
      <c r="C186" s="27" t="s">
        <v>165</v>
      </c>
      <c r="D186" s="26" t="s">
        <v>599</v>
      </c>
      <c r="E186" s="209"/>
      <c r="F186" s="319"/>
      <c r="G186" s="319"/>
      <c r="H186" s="319">
        <f t="shared" si="11"/>
        <v>0</v>
      </c>
      <c r="I186" s="62">
        <f t="shared" si="9"/>
        <v>0</v>
      </c>
    </row>
    <row r="187" spans="1:11" ht="31.5" hidden="1">
      <c r="A187" s="27" t="s">
        <v>699</v>
      </c>
      <c r="B187" s="27" t="s">
        <v>169</v>
      </c>
      <c r="C187" s="27" t="s">
        <v>175</v>
      </c>
      <c r="D187" s="26" t="s">
        <v>202</v>
      </c>
      <c r="E187" s="209"/>
      <c r="F187" s="319"/>
      <c r="G187" s="319"/>
      <c r="H187" s="319">
        <f t="shared" si="11"/>
        <v>0</v>
      </c>
      <c r="I187" s="62">
        <f t="shared" si="9"/>
        <v>0</v>
      </c>
    </row>
    <row r="188" spans="1:11" ht="63" hidden="1">
      <c r="A188" s="165" t="s">
        <v>689</v>
      </c>
      <c r="B188" s="165">
        <v>3100</v>
      </c>
      <c r="C188" s="165"/>
      <c r="D188" s="162" t="s">
        <v>415</v>
      </c>
      <c r="E188" s="202"/>
      <c r="F188" s="163">
        <f>F189+F190+F191</f>
        <v>0</v>
      </c>
      <c r="G188" s="163">
        <f>G189+G190+G191</f>
        <v>0</v>
      </c>
      <c r="H188" s="163">
        <f t="shared" si="11"/>
        <v>0</v>
      </c>
      <c r="I188" s="62">
        <f t="shared" si="9"/>
        <v>0</v>
      </c>
    </row>
    <row r="189" spans="1:11" s="38" customFormat="1" ht="63" hidden="1">
      <c r="A189" s="179" t="s">
        <v>690</v>
      </c>
      <c r="B189" s="179" t="s">
        <v>212</v>
      </c>
      <c r="C189" s="179" t="s">
        <v>213</v>
      </c>
      <c r="D189" s="29" t="s">
        <v>214</v>
      </c>
      <c r="E189" s="203"/>
      <c r="F189" s="32"/>
      <c r="G189" s="32"/>
      <c r="H189" s="32">
        <f t="shared" si="11"/>
        <v>0</v>
      </c>
      <c r="I189" s="62">
        <f t="shared" si="9"/>
        <v>0</v>
      </c>
    </row>
    <row r="190" spans="1:11" ht="62.1" hidden="1" customHeight="1">
      <c r="A190" s="179" t="s">
        <v>691</v>
      </c>
      <c r="B190" s="179" t="s">
        <v>215</v>
      </c>
      <c r="C190" s="179" t="s">
        <v>216</v>
      </c>
      <c r="D190" s="29" t="s">
        <v>124</v>
      </c>
      <c r="E190" s="203"/>
      <c r="F190" s="32"/>
      <c r="G190" s="32"/>
      <c r="H190" s="32">
        <f t="shared" si="11"/>
        <v>0</v>
      </c>
      <c r="I190" s="62">
        <f t="shared" si="9"/>
        <v>0</v>
      </c>
    </row>
    <row r="191" spans="1:11" ht="31.5" hidden="1">
      <c r="A191" s="179" t="s">
        <v>692</v>
      </c>
      <c r="B191" s="179" t="s">
        <v>217</v>
      </c>
      <c r="C191" s="179" t="s">
        <v>213</v>
      </c>
      <c r="D191" s="29" t="s">
        <v>251</v>
      </c>
      <c r="E191" s="203"/>
      <c r="F191" s="32"/>
      <c r="G191" s="32"/>
      <c r="H191" s="32">
        <f t="shared" si="11"/>
        <v>0</v>
      </c>
      <c r="I191" s="62">
        <f t="shared" si="9"/>
        <v>0</v>
      </c>
    </row>
    <row r="192" spans="1:11" ht="31.5" hidden="1">
      <c r="A192" s="165" t="s">
        <v>693</v>
      </c>
      <c r="B192" s="165" t="s">
        <v>452</v>
      </c>
      <c r="C192" s="165"/>
      <c r="D192" s="162" t="s">
        <v>113</v>
      </c>
      <c r="E192" s="202"/>
      <c r="F192" s="163">
        <f>F193</f>
        <v>0</v>
      </c>
      <c r="G192" s="163">
        <f>G193</f>
        <v>0</v>
      </c>
      <c r="H192" s="163">
        <f t="shared" si="11"/>
        <v>0</v>
      </c>
      <c r="I192" s="62">
        <f t="shared" si="9"/>
        <v>0</v>
      </c>
    </row>
    <row r="193" spans="1:11" ht="47.25" hidden="1">
      <c r="A193" s="179" t="s">
        <v>694</v>
      </c>
      <c r="B193" s="179" t="s">
        <v>426</v>
      </c>
      <c r="C193" s="182" t="s">
        <v>14</v>
      </c>
      <c r="D193" s="183" t="s">
        <v>98</v>
      </c>
      <c r="E193" s="207"/>
      <c r="F193" s="33"/>
      <c r="G193" s="33"/>
      <c r="H193" s="33">
        <f t="shared" si="11"/>
        <v>0</v>
      </c>
      <c r="I193" s="62">
        <f t="shared" si="9"/>
        <v>0</v>
      </c>
    </row>
    <row r="194" spans="1:11" ht="62.45" hidden="1" customHeight="1">
      <c r="A194" s="27" t="s">
        <v>701</v>
      </c>
      <c r="B194" s="27" t="s">
        <v>354</v>
      </c>
      <c r="C194" s="27" t="s">
        <v>207</v>
      </c>
      <c r="D194" s="26" t="s">
        <v>585</v>
      </c>
      <c r="E194" s="207"/>
      <c r="F194" s="33"/>
      <c r="G194" s="33"/>
      <c r="H194" s="33">
        <f t="shared" si="11"/>
        <v>0</v>
      </c>
      <c r="I194" s="62">
        <f t="shared" si="9"/>
        <v>0</v>
      </c>
    </row>
    <row r="195" spans="1:11" ht="15.75" hidden="1">
      <c r="A195" s="27" t="s">
        <v>702</v>
      </c>
      <c r="B195" s="27" t="s">
        <v>647</v>
      </c>
      <c r="C195" s="27" t="s">
        <v>207</v>
      </c>
      <c r="D195" s="26" t="s">
        <v>648</v>
      </c>
      <c r="E195" s="207"/>
      <c r="F195" s="33"/>
      <c r="G195" s="33"/>
      <c r="H195" s="33">
        <f t="shared" si="11"/>
        <v>0</v>
      </c>
      <c r="I195" s="62">
        <f t="shared" si="9"/>
        <v>0</v>
      </c>
    </row>
    <row r="196" spans="1:11" ht="31.5">
      <c r="A196" s="165" t="s">
        <v>703</v>
      </c>
      <c r="B196" s="165" t="s">
        <v>650</v>
      </c>
      <c r="C196" s="165"/>
      <c r="D196" s="162" t="s">
        <v>651</v>
      </c>
      <c r="E196" s="202"/>
      <c r="F196" s="163">
        <f>F197</f>
        <v>0</v>
      </c>
      <c r="G196" s="163">
        <f>G197</f>
        <v>348023</v>
      </c>
      <c r="H196" s="163">
        <f>H197</f>
        <v>348023</v>
      </c>
      <c r="I196" s="62">
        <f t="shared" si="9"/>
        <v>696046</v>
      </c>
      <c r="K196" s="62">
        <f>H196-G196-F196</f>
        <v>0</v>
      </c>
    </row>
    <row r="197" spans="1:11" ht="47.25">
      <c r="A197" s="179" t="s">
        <v>1134</v>
      </c>
      <c r="B197" s="179" t="s">
        <v>907</v>
      </c>
      <c r="C197" s="179" t="s">
        <v>356</v>
      </c>
      <c r="D197" s="29" t="s">
        <v>947</v>
      </c>
      <c r="E197" s="281" t="s">
        <v>1002</v>
      </c>
      <c r="F197" s="31"/>
      <c r="G197" s="31">
        <v>348023</v>
      </c>
      <c r="H197" s="31">
        <f>F197+G197</f>
        <v>348023</v>
      </c>
      <c r="I197" s="62">
        <f t="shared" si="9"/>
        <v>696046</v>
      </c>
      <c r="K197" s="62">
        <f>H197-G197-F197</f>
        <v>0</v>
      </c>
    </row>
    <row r="198" spans="1:11" ht="31.5">
      <c r="A198" s="165" t="s">
        <v>695</v>
      </c>
      <c r="B198" s="165" t="s">
        <v>434</v>
      </c>
      <c r="C198" s="165"/>
      <c r="D198" s="162" t="s">
        <v>260</v>
      </c>
      <c r="E198" s="202"/>
      <c r="F198" s="163">
        <f>F199+F200</f>
        <v>25500</v>
      </c>
      <c r="G198" s="163">
        <f>G199+G200</f>
        <v>3805731</v>
      </c>
      <c r="H198" s="163">
        <f>H199+H200</f>
        <v>3831231</v>
      </c>
      <c r="I198" s="62">
        <f t="shared" si="9"/>
        <v>7662462</v>
      </c>
      <c r="K198" s="62">
        <f>H198-G198-F198</f>
        <v>0</v>
      </c>
    </row>
    <row r="199" spans="1:11" ht="47.25">
      <c r="A199" s="179" t="s">
        <v>696</v>
      </c>
      <c r="B199" s="179" t="s">
        <v>449</v>
      </c>
      <c r="C199" s="179" t="s">
        <v>374</v>
      </c>
      <c r="D199" s="29" t="s">
        <v>63</v>
      </c>
      <c r="E199" s="206" t="s">
        <v>993</v>
      </c>
      <c r="F199" s="259">
        <v>25500</v>
      </c>
      <c r="G199" s="259">
        <v>512892</v>
      </c>
      <c r="H199" s="259">
        <f t="shared" si="11"/>
        <v>538392</v>
      </c>
      <c r="I199" s="62">
        <f t="shared" si="9"/>
        <v>1076784</v>
      </c>
      <c r="K199" s="62">
        <f>H199-G199-F199</f>
        <v>0</v>
      </c>
    </row>
    <row r="200" spans="1:11" ht="47.25">
      <c r="A200" s="179" t="s">
        <v>1143</v>
      </c>
      <c r="B200" s="179" t="s">
        <v>298</v>
      </c>
      <c r="C200" s="179" t="s">
        <v>374</v>
      </c>
      <c r="D200" s="29" t="s">
        <v>1144</v>
      </c>
      <c r="E200" s="206" t="s">
        <v>993</v>
      </c>
      <c r="F200" s="259"/>
      <c r="G200" s="259">
        <v>3292839</v>
      </c>
      <c r="H200" s="259">
        <f t="shared" si="11"/>
        <v>3292839</v>
      </c>
      <c r="I200" s="62">
        <f t="shared" si="9"/>
        <v>6585678</v>
      </c>
      <c r="K200" s="62">
        <f>H200-G200-F200</f>
        <v>0</v>
      </c>
    </row>
    <row r="201" spans="1:11" ht="34.5" hidden="1">
      <c r="A201" s="27" t="s">
        <v>919</v>
      </c>
      <c r="B201" s="27" t="s">
        <v>920</v>
      </c>
      <c r="C201" s="27" t="s">
        <v>654</v>
      </c>
      <c r="D201" s="270" t="s">
        <v>921</v>
      </c>
      <c r="E201" s="199"/>
      <c r="F201" s="31"/>
      <c r="G201" s="31"/>
      <c r="H201" s="259">
        <f t="shared" si="11"/>
        <v>0</v>
      </c>
      <c r="I201" s="62">
        <f t="shared" si="9"/>
        <v>0</v>
      </c>
    </row>
    <row r="202" spans="1:11" ht="31.5">
      <c r="A202" s="165" t="s">
        <v>707</v>
      </c>
      <c r="B202" s="165" t="s">
        <v>708</v>
      </c>
      <c r="C202" s="165"/>
      <c r="D202" s="162" t="s">
        <v>1016</v>
      </c>
      <c r="E202" s="202"/>
      <c r="F202" s="163">
        <f>SUM(F203:F205)</f>
        <v>0</v>
      </c>
      <c r="G202" s="163">
        <f>SUM(G203:G205)</f>
        <v>2539849</v>
      </c>
      <c r="H202" s="163">
        <f t="shared" si="11"/>
        <v>2539849</v>
      </c>
      <c r="I202" s="62">
        <f t="shared" si="9"/>
        <v>5079698</v>
      </c>
      <c r="K202" s="62">
        <f>H202-G202-F202</f>
        <v>0</v>
      </c>
    </row>
    <row r="203" spans="1:11" ht="37.5" hidden="1">
      <c r="A203" s="179" t="s">
        <v>704</v>
      </c>
      <c r="B203" s="179" t="s">
        <v>705</v>
      </c>
      <c r="C203" s="179" t="s">
        <v>654</v>
      </c>
      <c r="D203" s="29" t="s">
        <v>706</v>
      </c>
      <c r="E203" s="206"/>
      <c r="F203" s="259"/>
      <c r="G203" s="259"/>
      <c r="H203" s="259">
        <f t="shared" si="11"/>
        <v>0</v>
      </c>
      <c r="I203" s="62">
        <f t="shared" ref="I203:I266" si="12">SUM(F203:H203)</f>
        <v>0</v>
      </c>
    </row>
    <row r="204" spans="1:11" ht="34.5" hidden="1">
      <c r="A204" s="179" t="s">
        <v>709</v>
      </c>
      <c r="B204" s="179" t="s">
        <v>710</v>
      </c>
      <c r="C204" s="179" t="s">
        <v>654</v>
      </c>
      <c r="D204" s="29" t="s">
        <v>711</v>
      </c>
      <c r="E204" s="206"/>
      <c r="F204" s="259"/>
      <c r="G204" s="259"/>
      <c r="H204" s="259">
        <f t="shared" si="11"/>
        <v>0</v>
      </c>
      <c r="I204" s="62">
        <f t="shared" si="12"/>
        <v>0</v>
      </c>
    </row>
    <row r="205" spans="1:11" ht="47.25">
      <c r="A205" s="179" t="s">
        <v>922</v>
      </c>
      <c r="B205" s="179" t="s">
        <v>923</v>
      </c>
      <c r="C205" s="179" t="s">
        <v>654</v>
      </c>
      <c r="D205" s="29" t="s">
        <v>988</v>
      </c>
      <c r="E205" s="206" t="s">
        <v>993</v>
      </c>
      <c r="F205" s="259"/>
      <c r="G205" s="259">
        <v>2539849</v>
      </c>
      <c r="H205" s="259">
        <f t="shared" si="11"/>
        <v>2539849</v>
      </c>
      <c r="I205" s="62">
        <f t="shared" si="12"/>
        <v>5079698</v>
      </c>
      <c r="K205" s="62">
        <f>H205-G205-F205</f>
        <v>0</v>
      </c>
    </row>
    <row r="206" spans="1:11" ht="78.75">
      <c r="A206" s="1193" t="s">
        <v>1138</v>
      </c>
      <c r="B206" s="1193" t="s">
        <v>1139</v>
      </c>
      <c r="C206" s="1193" t="s">
        <v>654</v>
      </c>
      <c r="D206" s="1195" t="s">
        <v>1622</v>
      </c>
      <c r="E206" s="206" t="s">
        <v>1675</v>
      </c>
      <c r="F206" s="259"/>
      <c r="G206" s="259">
        <v>590000</v>
      </c>
      <c r="H206" s="259">
        <f t="shared" si="11"/>
        <v>590000</v>
      </c>
      <c r="I206" s="62">
        <f t="shared" si="12"/>
        <v>1180000</v>
      </c>
      <c r="K206" s="62">
        <f>H206-G206-F206</f>
        <v>0</v>
      </c>
    </row>
    <row r="207" spans="1:11" ht="47.25">
      <c r="A207" s="1194"/>
      <c r="B207" s="1194"/>
      <c r="C207" s="1194"/>
      <c r="D207" s="1196"/>
      <c r="E207" s="282" t="s">
        <v>1038</v>
      </c>
      <c r="F207" s="259"/>
      <c r="G207" s="259">
        <v>69314</v>
      </c>
      <c r="H207" s="259">
        <f>F207+G207</f>
        <v>69314</v>
      </c>
      <c r="I207" s="62">
        <f t="shared" si="12"/>
        <v>138628</v>
      </c>
      <c r="K207" s="62"/>
    </row>
    <row r="208" spans="1:11" ht="47.25">
      <c r="A208" s="27" t="s">
        <v>712</v>
      </c>
      <c r="B208" s="27" t="s">
        <v>481</v>
      </c>
      <c r="C208" s="27" t="s">
        <v>654</v>
      </c>
      <c r="D208" s="26" t="s">
        <v>657</v>
      </c>
      <c r="E208" s="194" t="s">
        <v>1002</v>
      </c>
      <c r="F208" s="322"/>
      <c r="G208" s="31">
        <v>4550000</v>
      </c>
      <c r="H208" s="259">
        <f>F208+G208</f>
        <v>4550000</v>
      </c>
      <c r="I208" s="62">
        <f t="shared" si="12"/>
        <v>9100000</v>
      </c>
      <c r="K208" s="62">
        <f>H208-G208-F208</f>
        <v>0</v>
      </c>
    </row>
    <row r="209" spans="1:11" ht="15.6" hidden="1" customHeight="1">
      <c r="A209" s="165" t="s">
        <v>1030</v>
      </c>
      <c r="B209" s="165" t="s">
        <v>1031</v>
      </c>
      <c r="C209" s="165"/>
      <c r="D209" s="162" t="s">
        <v>1032</v>
      </c>
      <c r="E209" s="162"/>
      <c r="F209" s="323">
        <f>F210</f>
        <v>0</v>
      </c>
      <c r="G209" s="323">
        <f>G210</f>
        <v>0</v>
      </c>
      <c r="H209" s="259">
        <f t="shared" si="11"/>
        <v>0</v>
      </c>
      <c r="I209" s="62">
        <f t="shared" si="12"/>
        <v>0</v>
      </c>
    </row>
    <row r="210" spans="1:11" ht="63" hidden="1">
      <c r="A210" s="179" t="s">
        <v>1033</v>
      </c>
      <c r="B210" s="179" t="s">
        <v>1034</v>
      </c>
      <c r="C210" s="179" t="s">
        <v>358</v>
      </c>
      <c r="D210" s="288" t="s">
        <v>1035</v>
      </c>
      <c r="E210" s="288"/>
      <c r="F210" s="324"/>
      <c r="G210" s="324"/>
      <c r="H210" s="259">
        <f>F210+G210</f>
        <v>0</v>
      </c>
      <c r="I210" s="62">
        <f t="shared" si="12"/>
        <v>0</v>
      </c>
    </row>
    <row r="211" spans="1:11" ht="47.25">
      <c r="A211" s="27" t="s">
        <v>924</v>
      </c>
      <c r="B211" s="27" t="s">
        <v>925</v>
      </c>
      <c r="C211" s="27" t="s">
        <v>358</v>
      </c>
      <c r="D211" s="270" t="s">
        <v>926</v>
      </c>
      <c r="E211" s="282" t="s">
        <v>1038</v>
      </c>
      <c r="F211" s="31">
        <v>400000</v>
      </c>
      <c r="G211" s="325"/>
      <c r="H211" s="259">
        <f t="shared" si="11"/>
        <v>400000</v>
      </c>
      <c r="I211" s="62">
        <f t="shared" si="12"/>
        <v>800000</v>
      </c>
      <c r="K211" s="62">
        <f>H211-G211-F211</f>
        <v>0</v>
      </c>
    </row>
    <row r="212" spans="1:11" ht="60">
      <c r="A212" s="27" t="s">
        <v>927</v>
      </c>
      <c r="B212" s="27" t="s">
        <v>928</v>
      </c>
      <c r="C212" s="27" t="s">
        <v>917</v>
      </c>
      <c r="D212" s="19" t="s">
        <v>929</v>
      </c>
      <c r="E212" s="283" t="s">
        <v>1007</v>
      </c>
      <c r="F212" s="31">
        <v>6000000</v>
      </c>
      <c r="G212" s="325"/>
      <c r="H212" s="31">
        <f t="shared" si="11"/>
        <v>6000000</v>
      </c>
      <c r="I212" s="62">
        <f t="shared" si="12"/>
        <v>12000000</v>
      </c>
      <c r="K212" s="62">
        <f>H212-G212-F212</f>
        <v>0</v>
      </c>
    </row>
    <row r="213" spans="1:11" ht="15.75" hidden="1">
      <c r="A213" s="27" t="s">
        <v>715</v>
      </c>
      <c r="B213" s="27" t="s">
        <v>716</v>
      </c>
      <c r="C213" s="27" t="s">
        <v>478</v>
      </c>
      <c r="D213" s="26" t="s">
        <v>392</v>
      </c>
      <c r="E213" s="199"/>
      <c r="F213" s="31"/>
      <c r="G213" s="31"/>
      <c r="H213" s="31">
        <f t="shared" si="11"/>
        <v>0</v>
      </c>
      <c r="I213" s="62">
        <f t="shared" si="12"/>
        <v>0</v>
      </c>
    </row>
    <row r="214" spans="1:11" ht="31.5">
      <c r="A214" s="165" t="s">
        <v>713</v>
      </c>
      <c r="B214" s="165" t="s">
        <v>506</v>
      </c>
      <c r="C214" s="165"/>
      <c r="D214" s="162" t="s">
        <v>508</v>
      </c>
      <c r="E214" s="202"/>
      <c r="F214" s="163">
        <f>SUM(F215:F217)</f>
        <v>0</v>
      </c>
      <c r="G214" s="163">
        <f>SUM(G215:G217)</f>
        <v>12808337</v>
      </c>
      <c r="H214" s="163">
        <f t="shared" si="11"/>
        <v>12808337</v>
      </c>
      <c r="I214" s="62">
        <f t="shared" si="12"/>
        <v>25616674</v>
      </c>
      <c r="K214" s="62">
        <f>H214-G214-F214</f>
        <v>0</v>
      </c>
    </row>
    <row r="215" spans="1:11" ht="62.45" customHeight="1">
      <c r="A215" s="179" t="s">
        <v>714</v>
      </c>
      <c r="B215" s="179" t="s">
        <v>507</v>
      </c>
      <c r="C215" s="179" t="s">
        <v>9</v>
      </c>
      <c r="D215" s="29" t="s">
        <v>114</v>
      </c>
      <c r="E215" s="1220" t="s">
        <v>1040</v>
      </c>
      <c r="F215" s="32"/>
      <c r="G215" s="32">
        <v>1400000</v>
      </c>
      <c r="H215" s="32">
        <f t="shared" si="11"/>
        <v>1400000</v>
      </c>
      <c r="I215" s="62">
        <f t="shared" si="12"/>
        <v>2800000</v>
      </c>
      <c r="K215" s="62">
        <f>H215-G215-F215</f>
        <v>0</v>
      </c>
    </row>
    <row r="216" spans="1:11" ht="72" customHeight="1">
      <c r="A216" s="179" t="s">
        <v>717</v>
      </c>
      <c r="B216" s="179" t="s">
        <v>718</v>
      </c>
      <c r="C216" s="179" t="s">
        <v>29</v>
      </c>
      <c r="D216" s="29" t="s">
        <v>115</v>
      </c>
      <c r="E216" s="1221"/>
      <c r="F216" s="325"/>
      <c r="G216" s="32">
        <f>5550000-150000</f>
        <v>5400000</v>
      </c>
      <c r="H216" s="32">
        <f t="shared" si="11"/>
        <v>5400000</v>
      </c>
      <c r="I216" s="62">
        <f t="shared" si="12"/>
        <v>10800000</v>
      </c>
      <c r="K216" s="62">
        <f>H216-G216-F216</f>
        <v>0</v>
      </c>
    </row>
    <row r="217" spans="1:11" ht="62.45" customHeight="1">
      <c r="A217" s="178">
        <v>1618313</v>
      </c>
      <c r="B217" s="178">
        <v>8313</v>
      </c>
      <c r="C217" s="179" t="s">
        <v>483</v>
      </c>
      <c r="D217" s="29" t="s">
        <v>243</v>
      </c>
      <c r="E217" s="1222"/>
      <c r="F217" s="259"/>
      <c r="G217" s="259">
        <v>6008337</v>
      </c>
      <c r="H217" s="259">
        <f t="shared" si="11"/>
        <v>6008337</v>
      </c>
      <c r="I217" s="62">
        <f t="shared" si="12"/>
        <v>12016674</v>
      </c>
      <c r="K217" s="62">
        <f>H217-G217-F217</f>
        <v>0</v>
      </c>
    </row>
    <row r="218" spans="1:11" ht="78" hidden="1" customHeight="1">
      <c r="A218" s="24">
        <v>1618330</v>
      </c>
      <c r="B218" s="24">
        <v>8330</v>
      </c>
      <c r="C218" s="27" t="s">
        <v>484</v>
      </c>
      <c r="D218" s="26" t="s">
        <v>719</v>
      </c>
      <c r="E218" s="33"/>
      <c r="F218" s="33"/>
      <c r="G218" s="33"/>
      <c r="H218" s="33">
        <f t="shared" si="11"/>
        <v>0</v>
      </c>
      <c r="I218" s="62">
        <f t="shared" si="12"/>
        <v>0</v>
      </c>
    </row>
    <row r="219" spans="1:11" ht="47.25">
      <c r="A219" s="172" t="s">
        <v>1024</v>
      </c>
      <c r="B219" s="172"/>
      <c r="C219" s="172"/>
      <c r="D219" s="171" t="s">
        <v>1029</v>
      </c>
      <c r="E219" s="195"/>
      <c r="F219" s="316">
        <f>F221+F224+F226+F223+F227</f>
        <v>700000</v>
      </c>
      <c r="G219" s="316">
        <f>G221+G224+G226+G223+G227+G225</f>
        <v>790229726</v>
      </c>
      <c r="H219" s="316">
        <f>H221+H224+H226+H223+H227+H225</f>
        <v>790929726</v>
      </c>
      <c r="I219" s="62">
        <f t="shared" si="12"/>
        <v>1581859452</v>
      </c>
      <c r="K219" s="62">
        <f>H219-G219-F219</f>
        <v>0</v>
      </c>
    </row>
    <row r="220" spans="1:11" ht="47.25">
      <c r="A220" s="172" t="s">
        <v>1025</v>
      </c>
      <c r="B220" s="172"/>
      <c r="C220" s="172"/>
      <c r="D220" s="171" t="s">
        <v>1029</v>
      </c>
      <c r="E220" s="195"/>
      <c r="F220" s="316">
        <f>F221+F222+F226+F227</f>
        <v>700000</v>
      </c>
      <c r="G220" s="316">
        <f>G221+G222+G226+G227</f>
        <v>790229726</v>
      </c>
      <c r="H220" s="316">
        <f>H221+H222+H226+H227</f>
        <v>790929726</v>
      </c>
      <c r="I220" s="62">
        <f t="shared" si="12"/>
        <v>1581859452</v>
      </c>
      <c r="K220" s="62">
        <f>H220-G220-F220</f>
        <v>0</v>
      </c>
    </row>
    <row r="221" spans="1:11" ht="31.5" hidden="1">
      <c r="A221" s="27" t="s">
        <v>1026</v>
      </c>
      <c r="B221" s="27" t="s">
        <v>750</v>
      </c>
      <c r="C221" s="27" t="s">
        <v>479</v>
      </c>
      <c r="D221" s="26" t="s">
        <v>751</v>
      </c>
      <c r="E221" s="33"/>
      <c r="F221" s="33"/>
      <c r="G221" s="33"/>
      <c r="H221" s="33">
        <f t="shared" ref="H221:H227" si="13">F221+G221</f>
        <v>0</v>
      </c>
      <c r="I221" s="62">
        <f t="shared" si="12"/>
        <v>0</v>
      </c>
    </row>
    <row r="222" spans="1:11" ht="31.5">
      <c r="A222" s="165" t="s">
        <v>1027</v>
      </c>
      <c r="B222" s="165" t="s">
        <v>752</v>
      </c>
      <c r="C222" s="165"/>
      <c r="D222" s="162" t="s">
        <v>753</v>
      </c>
      <c r="E222" s="202"/>
      <c r="F222" s="163">
        <f>SUM(F223:F225)</f>
        <v>700000</v>
      </c>
      <c r="G222" s="163">
        <f>SUM(G223:G225)</f>
        <v>784542184</v>
      </c>
      <c r="H222" s="163">
        <f>SUM(H223:H225)</f>
        <v>785242184</v>
      </c>
      <c r="I222" s="62">
        <f t="shared" si="12"/>
        <v>1570484368</v>
      </c>
      <c r="K222" s="62">
        <f>H222-G222-F222</f>
        <v>0</v>
      </c>
    </row>
    <row r="223" spans="1:11" ht="75">
      <c r="A223" s="178">
        <v>1917461</v>
      </c>
      <c r="B223" s="178">
        <v>7461</v>
      </c>
      <c r="C223" s="179" t="s">
        <v>479</v>
      </c>
      <c r="D223" s="29" t="s">
        <v>937</v>
      </c>
      <c r="E223" s="286" t="s">
        <v>1041</v>
      </c>
      <c r="F223" s="259">
        <v>700000</v>
      </c>
      <c r="G223" s="259">
        <f>290000-200000</f>
        <v>90000</v>
      </c>
      <c r="H223" s="259">
        <f t="shared" si="13"/>
        <v>790000</v>
      </c>
      <c r="I223" s="62">
        <f t="shared" si="12"/>
        <v>1580000</v>
      </c>
      <c r="K223" s="62">
        <f>H223-G223-F223</f>
        <v>0</v>
      </c>
    </row>
    <row r="224" spans="1:11" ht="75">
      <c r="A224" s="178">
        <v>1917462</v>
      </c>
      <c r="B224" s="178">
        <v>7462</v>
      </c>
      <c r="C224" s="179" t="s">
        <v>479</v>
      </c>
      <c r="D224" s="29" t="s">
        <v>946</v>
      </c>
      <c r="E224" s="286" t="s">
        <v>1041</v>
      </c>
      <c r="F224" s="325"/>
      <c r="G224" s="259">
        <v>611469758</v>
      </c>
      <c r="H224" s="259">
        <f t="shared" si="13"/>
        <v>611469758</v>
      </c>
      <c r="I224" s="62">
        <f t="shared" si="12"/>
        <v>1222939516</v>
      </c>
      <c r="K224" s="62">
        <f>H224-G224-F224</f>
        <v>0</v>
      </c>
    </row>
    <row r="225" spans="1:11" ht="145.5" customHeight="1">
      <c r="A225" s="178">
        <v>1917464</v>
      </c>
      <c r="B225" s="178">
        <v>7464</v>
      </c>
      <c r="C225" s="179" t="s">
        <v>479</v>
      </c>
      <c r="D225" s="29" t="s">
        <v>1820</v>
      </c>
      <c r="E225" s="286" t="s">
        <v>1041</v>
      </c>
      <c r="F225" s="325"/>
      <c r="G225" s="259">
        <f>136257226+36725200</f>
        <v>172982426</v>
      </c>
      <c r="H225" s="259">
        <f t="shared" si="13"/>
        <v>172982426</v>
      </c>
      <c r="I225" s="62">
        <f t="shared" si="12"/>
        <v>345964852</v>
      </c>
      <c r="K225" s="62">
        <f>H225-G225-F225</f>
        <v>0</v>
      </c>
    </row>
    <row r="226" spans="1:11" ht="15.75" hidden="1">
      <c r="A226" s="27" t="s">
        <v>1028</v>
      </c>
      <c r="B226" s="27" t="s">
        <v>485</v>
      </c>
      <c r="C226" s="27" t="s">
        <v>479</v>
      </c>
      <c r="D226" s="26" t="s">
        <v>754</v>
      </c>
      <c r="E226" s="207"/>
      <c r="F226" s="33"/>
      <c r="G226" s="33"/>
      <c r="H226" s="259">
        <f t="shared" si="13"/>
        <v>0</v>
      </c>
      <c r="I226" s="62">
        <f t="shared" si="12"/>
        <v>0</v>
      </c>
    </row>
    <row r="227" spans="1:11" ht="126">
      <c r="A227" s="27" t="s">
        <v>1146</v>
      </c>
      <c r="B227" s="27" t="s">
        <v>772</v>
      </c>
      <c r="C227" s="27" t="s">
        <v>10</v>
      </c>
      <c r="D227" s="26" t="s">
        <v>1147</v>
      </c>
      <c r="E227" s="286" t="s">
        <v>1041</v>
      </c>
      <c r="F227" s="33"/>
      <c r="G227" s="33">
        <v>5687542</v>
      </c>
      <c r="H227" s="259">
        <f t="shared" si="13"/>
        <v>5687542</v>
      </c>
      <c r="I227" s="62">
        <f t="shared" si="12"/>
        <v>11375084</v>
      </c>
      <c r="K227" s="62">
        <f t="shared" ref="K227:K235" si="14">H227-G227-F227</f>
        <v>0</v>
      </c>
    </row>
    <row r="228" spans="1:11" ht="63">
      <c r="A228" s="172" t="s">
        <v>720</v>
      </c>
      <c r="B228" s="172"/>
      <c r="C228" s="172"/>
      <c r="D228" s="171" t="s">
        <v>66</v>
      </c>
      <c r="E228" s="195"/>
      <c r="F228" s="316">
        <f>+F235+F233+F230+F231</f>
        <v>2568000</v>
      </c>
      <c r="G228" s="316">
        <f>+G235+G233+G230+G231</f>
        <v>102000</v>
      </c>
      <c r="H228" s="316">
        <f>+H235+H233+H230+H231</f>
        <v>2670000</v>
      </c>
      <c r="I228" s="62">
        <f t="shared" si="12"/>
        <v>5340000</v>
      </c>
      <c r="K228" s="62">
        <f t="shared" si="14"/>
        <v>0</v>
      </c>
    </row>
    <row r="229" spans="1:11" ht="67.5" customHeight="1">
      <c r="A229" s="172" t="s">
        <v>721</v>
      </c>
      <c r="B229" s="172"/>
      <c r="C229" s="172"/>
      <c r="D229" s="171" t="s">
        <v>66</v>
      </c>
      <c r="E229" s="195"/>
      <c r="F229" s="316">
        <f>F232+F230+F231+F235</f>
        <v>2568000</v>
      </c>
      <c r="G229" s="316">
        <f>G232+G230+G231+G235</f>
        <v>102000</v>
      </c>
      <c r="H229" s="316">
        <f>H232+H230+H231+H235</f>
        <v>2670000</v>
      </c>
      <c r="I229" s="62">
        <f t="shared" si="12"/>
        <v>5340000</v>
      </c>
      <c r="K229" s="62">
        <f t="shared" si="14"/>
        <v>0</v>
      </c>
    </row>
    <row r="230" spans="1:11" ht="78.75">
      <c r="A230" s="1193" t="s">
        <v>930</v>
      </c>
      <c r="B230" s="1193" t="s">
        <v>10</v>
      </c>
      <c r="C230" s="1193" t="s">
        <v>13</v>
      </c>
      <c r="D230" s="1205" t="s">
        <v>513</v>
      </c>
      <c r="E230" s="194" t="s">
        <v>1008</v>
      </c>
      <c r="F230" s="31">
        <v>1298000</v>
      </c>
      <c r="G230" s="31">
        <v>102000</v>
      </c>
      <c r="H230" s="31">
        <f t="shared" si="11"/>
        <v>1400000</v>
      </c>
      <c r="I230" s="62">
        <f t="shared" si="12"/>
        <v>2800000</v>
      </c>
      <c r="K230" s="62">
        <f t="shared" si="14"/>
        <v>0</v>
      </c>
    </row>
    <row r="231" spans="1:11" ht="47.25">
      <c r="A231" s="1194"/>
      <c r="B231" s="1194"/>
      <c r="C231" s="1194"/>
      <c r="D231" s="1206"/>
      <c r="E231" s="194" t="s">
        <v>1009</v>
      </c>
      <c r="F231" s="325">
        <v>1070000</v>
      </c>
      <c r="G231" s="325"/>
      <c r="H231" s="31">
        <f t="shared" si="11"/>
        <v>1070000</v>
      </c>
      <c r="I231" s="62">
        <f t="shared" si="12"/>
        <v>2140000</v>
      </c>
      <c r="K231" s="62">
        <f t="shared" si="14"/>
        <v>0</v>
      </c>
    </row>
    <row r="232" spans="1:11" ht="31.5" hidden="1">
      <c r="A232" s="165" t="s">
        <v>722</v>
      </c>
      <c r="B232" s="165" t="s">
        <v>723</v>
      </c>
      <c r="C232" s="165"/>
      <c r="D232" s="162" t="s">
        <v>196</v>
      </c>
      <c r="E232" s="202"/>
      <c r="F232" s="163">
        <f>F233</f>
        <v>0</v>
      </c>
      <c r="G232" s="163">
        <f>G233</f>
        <v>0</v>
      </c>
      <c r="H232" s="163">
        <f t="shared" si="11"/>
        <v>0</v>
      </c>
      <c r="I232" s="62">
        <f t="shared" si="12"/>
        <v>0</v>
      </c>
      <c r="K232" s="62">
        <f t="shared" si="14"/>
        <v>0</v>
      </c>
    </row>
    <row r="233" spans="1:11" ht="78.75" hidden="1">
      <c r="A233" s="179" t="s">
        <v>724</v>
      </c>
      <c r="B233" s="179" t="s">
        <v>725</v>
      </c>
      <c r="C233" s="179" t="s">
        <v>211</v>
      </c>
      <c r="D233" s="29" t="s">
        <v>977</v>
      </c>
      <c r="E233" s="29" t="s">
        <v>997</v>
      </c>
      <c r="F233" s="32"/>
      <c r="G233" s="32"/>
      <c r="H233" s="32">
        <f t="shared" si="11"/>
        <v>0</v>
      </c>
      <c r="I233" s="62">
        <f t="shared" si="12"/>
        <v>0</v>
      </c>
      <c r="K233" s="62">
        <f t="shared" si="14"/>
        <v>0</v>
      </c>
    </row>
    <row r="234" spans="1:11" ht="15.75">
      <c r="A234" s="165" t="s">
        <v>932</v>
      </c>
      <c r="B234" s="165" t="s">
        <v>931</v>
      </c>
      <c r="C234" s="165"/>
      <c r="D234" s="162" t="s">
        <v>497</v>
      </c>
      <c r="E234" s="202"/>
      <c r="F234" s="163">
        <f>F235</f>
        <v>200000</v>
      </c>
      <c r="G234" s="163">
        <f>G235</f>
        <v>0</v>
      </c>
      <c r="H234" s="163">
        <f t="shared" si="11"/>
        <v>200000</v>
      </c>
      <c r="I234" s="62">
        <f t="shared" si="12"/>
        <v>400000</v>
      </c>
      <c r="K234" s="62">
        <f t="shared" si="14"/>
        <v>0</v>
      </c>
    </row>
    <row r="235" spans="1:11" ht="54" customHeight="1">
      <c r="A235" s="179" t="s">
        <v>962</v>
      </c>
      <c r="B235" s="179" t="s">
        <v>963</v>
      </c>
      <c r="C235" s="179" t="s">
        <v>8</v>
      </c>
      <c r="D235" s="29" t="s">
        <v>498</v>
      </c>
      <c r="E235" s="281" t="s">
        <v>1010</v>
      </c>
      <c r="F235" s="32">
        <v>200000</v>
      </c>
      <c r="G235" s="32"/>
      <c r="H235" s="32">
        <f t="shared" si="11"/>
        <v>200000</v>
      </c>
      <c r="I235" s="62">
        <f t="shared" si="12"/>
        <v>400000</v>
      </c>
      <c r="K235" s="62">
        <f t="shared" si="14"/>
        <v>0</v>
      </c>
    </row>
    <row r="236" spans="1:11" hidden="1">
      <c r="I236" s="62">
        <f t="shared" si="12"/>
        <v>0</v>
      </c>
    </row>
    <row r="237" spans="1:11" ht="63">
      <c r="A237" s="172" t="s">
        <v>732</v>
      </c>
      <c r="B237" s="172"/>
      <c r="C237" s="172"/>
      <c r="D237" s="171" t="s">
        <v>1710</v>
      </c>
      <c r="E237" s="195"/>
      <c r="F237" s="316">
        <f>F243+F244+F241+F242+F239+F240+F246</f>
        <v>10476719</v>
      </c>
      <c r="G237" s="316">
        <f>G243+G244+G241+G242+G239+G240+G246</f>
        <v>3164981</v>
      </c>
      <c r="H237" s="316">
        <f>H243+H244+H241+H242+H239+H240+H246</f>
        <v>13641700</v>
      </c>
      <c r="I237" s="62">
        <f t="shared" si="12"/>
        <v>27283400</v>
      </c>
      <c r="K237" s="62">
        <f t="shared" ref="K237:K250" si="15">H237-G237-F237</f>
        <v>0</v>
      </c>
    </row>
    <row r="238" spans="1:11" ht="63">
      <c r="A238" s="172" t="s">
        <v>733</v>
      </c>
      <c r="B238" s="172"/>
      <c r="C238" s="172"/>
      <c r="D238" s="171" t="s">
        <v>1710</v>
      </c>
      <c r="E238" s="195"/>
      <c r="F238" s="316">
        <f>F243+F245+F241+F242+F239+F240+F247</f>
        <v>10476719</v>
      </c>
      <c r="G238" s="316">
        <f>G243+G245+G241+G242+G239+G240+G247</f>
        <v>3164981</v>
      </c>
      <c r="H238" s="316">
        <f>H243+H245+H241+H242+H239+H240+H247</f>
        <v>13641700</v>
      </c>
      <c r="I238" s="62">
        <f t="shared" si="12"/>
        <v>27283400</v>
      </c>
      <c r="K238" s="62">
        <f t="shared" si="15"/>
        <v>0</v>
      </c>
    </row>
    <row r="239" spans="1:11" ht="45">
      <c r="A239" s="27" t="s">
        <v>1717</v>
      </c>
      <c r="B239" s="27" t="s">
        <v>727</v>
      </c>
      <c r="C239" s="27" t="s">
        <v>480</v>
      </c>
      <c r="D239" s="26" t="s">
        <v>728</v>
      </c>
      <c r="E239" s="284" t="s">
        <v>1011</v>
      </c>
      <c r="F239" s="33">
        <f>5300000-1000000+200000-224981</f>
        <v>4275019</v>
      </c>
      <c r="G239" s="326">
        <v>224981</v>
      </c>
      <c r="H239" s="33">
        <f>F239+G239</f>
        <v>4500000</v>
      </c>
      <c r="I239" s="62">
        <f t="shared" si="12"/>
        <v>9000000</v>
      </c>
      <c r="K239" s="62"/>
    </row>
    <row r="240" spans="1:11" ht="31.5" hidden="1">
      <c r="A240" s="27" t="s">
        <v>1718</v>
      </c>
      <c r="B240" s="27" t="s">
        <v>730</v>
      </c>
      <c r="C240" s="27" t="s">
        <v>480</v>
      </c>
      <c r="D240" s="26" t="s">
        <v>731</v>
      </c>
      <c r="E240" s="207"/>
      <c r="F240" s="33"/>
      <c r="G240" s="33"/>
      <c r="H240" s="33">
        <f>F240+G240</f>
        <v>0</v>
      </c>
      <c r="I240" s="62">
        <f t="shared" si="12"/>
        <v>0</v>
      </c>
      <c r="K240" s="62"/>
    </row>
    <row r="241" spans="1:11" ht="47.25">
      <c r="A241" s="27" t="s">
        <v>933</v>
      </c>
      <c r="B241" s="27" t="s">
        <v>934</v>
      </c>
      <c r="C241" s="27" t="s">
        <v>654</v>
      </c>
      <c r="D241" s="26" t="s">
        <v>935</v>
      </c>
      <c r="E241" s="283" t="s">
        <v>1042</v>
      </c>
      <c r="F241" s="33">
        <v>50000</v>
      </c>
      <c r="G241" s="326"/>
      <c r="H241" s="33">
        <f t="shared" ref="H241:H276" si="16">F241+G241</f>
        <v>50000</v>
      </c>
      <c r="I241" s="62">
        <f t="shared" si="12"/>
        <v>100000</v>
      </c>
      <c r="K241" s="62">
        <f t="shared" si="15"/>
        <v>0</v>
      </c>
    </row>
    <row r="242" spans="1:11" ht="45">
      <c r="A242" s="27" t="s">
        <v>1036</v>
      </c>
      <c r="B242" s="27" t="s">
        <v>925</v>
      </c>
      <c r="C242" s="27" t="s">
        <v>358</v>
      </c>
      <c r="D242" s="26" t="s">
        <v>926</v>
      </c>
      <c r="E242" s="271" t="s">
        <v>1042</v>
      </c>
      <c r="F242" s="33">
        <f>944700+250000</f>
        <v>1194700</v>
      </c>
      <c r="G242" s="33">
        <v>2500000</v>
      </c>
      <c r="H242" s="33">
        <f t="shared" si="16"/>
        <v>3694700</v>
      </c>
      <c r="I242" s="62">
        <f t="shared" si="12"/>
        <v>7389400</v>
      </c>
      <c r="K242" s="62">
        <f t="shared" si="15"/>
        <v>0</v>
      </c>
    </row>
    <row r="243" spans="1:11" ht="45">
      <c r="A243" s="27" t="s">
        <v>734</v>
      </c>
      <c r="B243" s="27" t="s">
        <v>190</v>
      </c>
      <c r="C243" s="27" t="s">
        <v>486</v>
      </c>
      <c r="D243" s="26" t="s">
        <v>291</v>
      </c>
      <c r="E243" s="284" t="s">
        <v>1042</v>
      </c>
      <c r="F243" s="33">
        <f>2447000-250000-700000-200000</f>
        <v>1297000</v>
      </c>
      <c r="G243" s="33">
        <v>50000</v>
      </c>
      <c r="H243" s="33">
        <f t="shared" si="16"/>
        <v>1347000</v>
      </c>
      <c r="I243" s="62">
        <f t="shared" si="12"/>
        <v>2694000</v>
      </c>
      <c r="K243" s="62">
        <f t="shared" si="15"/>
        <v>0</v>
      </c>
    </row>
    <row r="244" spans="1:11" ht="15.75">
      <c r="A244" s="165" t="s">
        <v>737</v>
      </c>
      <c r="B244" s="165" t="s">
        <v>738</v>
      </c>
      <c r="C244" s="165"/>
      <c r="D244" s="162" t="s">
        <v>739</v>
      </c>
      <c r="E244" s="202"/>
      <c r="F244" s="163">
        <f>F245</f>
        <v>660000</v>
      </c>
      <c r="G244" s="163">
        <f>G245</f>
        <v>40000</v>
      </c>
      <c r="H244" s="163">
        <f t="shared" si="16"/>
        <v>700000</v>
      </c>
      <c r="I244" s="62">
        <f t="shared" si="12"/>
        <v>1400000</v>
      </c>
      <c r="K244" s="62">
        <f t="shared" si="15"/>
        <v>0</v>
      </c>
    </row>
    <row r="245" spans="1:11" ht="45">
      <c r="A245" s="179" t="s">
        <v>735</v>
      </c>
      <c r="B245" s="179" t="s">
        <v>736</v>
      </c>
      <c r="C245" s="179" t="s">
        <v>358</v>
      </c>
      <c r="D245" s="29" t="s">
        <v>191</v>
      </c>
      <c r="E245" s="283" t="s">
        <v>1042</v>
      </c>
      <c r="F245" s="32">
        <v>660000</v>
      </c>
      <c r="G245" s="32">
        <v>40000</v>
      </c>
      <c r="H245" s="32">
        <f t="shared" si="16"/>
        <v>700000</v>
      </c>
      <c r="I245" s="62">
        <f t="shared" si="12"/>
        <v>1400000</v>
      </c>
      <c r="K245" s="62">
        <f t="shared" si="15"/>
        <v>0</v>
      </c>
    </row>
    <row r="246" spans="1:11" ht="47.25">
      <c r="A246" s="165" t="s">
        <v>1719</v>
      </c>
      <c r="B246" s="165" t="s">
        <v>1012</v>
      </c>
      <c r="C246" s="165"/>
      <c r="D246" s="162" t="s">
        <v>1015</v>
      </c>
      <c r="E246" s="202"/>
      <c r="F246" s="163">
        <f>F247</f>
        <v>3000000</v>
      </c>
      <c r="G246" s="163">
        <f>G247</f>
        <v>350000</v>
      </c>
      <c r="H246" s="163">
        <f>H247</f>
        <v>3350000</v>
      </c>
      <c r="I246" s="62">
        <f t="shared" si="12"/>
        <v>6700000</v>
      </c>
      <c r="K246" s="62"/>
    </row>
    <row r="247" spans="1:11" ht="45">
      <c r="A247" s="27" t="s">
        <v>1720</v>
      </c>
      <c r="B247" s="27" t="s">
        <v>1013</v>
      </c>
      <c r="C247" s="27" t="s">
        <v>88</v>
      </c>
      <c r="D247" s="29" t="s">
        <v>678</v>
      </c>
      <c r="E247" s="285" t="s">
        <v>1011</v>
      </c>
      <c r="F247" s="259">
        <v>3000000</v>
      </c>
      <c r="G247" s="259">
        <v>350000</v>
      </c>
      <c r="H247" s="259">
        <f>F247+G247</f>
        <v>3350000</v>
      </c>
      <c r="I247" s="62">
        <f t="shared" si="12"/>
        <v>6700000</v>
      </c>
      <c r="K247" s="62"/>
    </row>
    <row r="248" spans="1:11" ht="47.25">
      <c r="A248" s="172" t="s">
        <v>741</v>
      </c>
      <c r="B248" s="172"/>
      <c r="C248" s="172"/>
      <c r="D248" s="171" t="s">
        <v>420</v>
      </c>
      <c r="E248" s="195"/>
      <c r="F248" s="316">
        <f>F251+F252+F253+F254+F255</f>
        <v>0</v>
      </c>
      <c r="G248" s="316">
        <f>G251+G252+G253+G254+G255</f>
        <v>6579480</v>
      </c>
      <c r="H248" s="316">
        <f>H251+H252+H253+H254+H255</f>
        <v>6579480</v>
      </c>
      <c r="I248" s="62">
        <f t="shared" si="12"/>
        <v>13158960</v>
      </c>
      <c r="K248" s="62">
        <f t="shared" si="15"/>
        <v>0</v>
      </c>
    </row>
    <row r="249" spans="1:11" ht="47.25">
      <c r="A249" s="172" t="s">
        <v>742</v>
      </c>
      <c r="B249" s="173"/>
      <c r="C249" s="173"/>
      <c r="D249" s="171" t="s">
        <v>420</v>
      </c>
      <c r="E249" s="195"/>
      <c r="F249" s="316">
        <f>F250+F254+F255</f>
        <v>0</v>
      </c>
      <c r="G249" s="316">
        <f>G250+G254+G255</f>
        <v>6579480</v>
      </c>
      <c r="H249" s="316">
        <f>H250+H254+H255</f>
        <v>6579480</v>
      </c>
      <c r="I249" s="62">
        <f t="shared" si="12"/>
        <v>13158960</v>
      </c>
      <c r="K249" s="62">
        <f t="shared" si="15"/>
        <v>0</v>
      </c>
    </row>
    <row r="250" spans="1:11" ht="31.5">
      <c r="A250" s="165" t="s">
        <v>743</v>
      </c>
      <c r="B250" s="165" t="s">
        <v>506</v>
      </c>
      <c r="C250" s="165"/>
      <c r="D250" s="162" t="s">
        <v>508</v>
      </c>
      <c r="E250" s="202"/>
      <c r="F250" s="163">
        <f>F251+F252+F253</f>
        <v>0</v>
      </c>
      <c r="G250" s="163">
        <f>G251+G252+G253</f>
        <v>3209180</v>
      </c>
      <c r="H250" s="163">
        <f t="shared" si="16"/>
        <v>3209180</v>
      </c>
      <c r="I250" s="62">
        <f t="shared" si="12"/>
        <v>6418360</v>
      </c>
      <c r="K250" s="62">
        <f t="shared" si="15"/>
        <v>0</v>
      </c>
    </row>
    <row r="251" spans="1:11" ht="31.5" hidden="1">
      <c r="A251" s="179" t="s">
        <v>744</v>
      </c>
      <c r="B251" s="179" t="s">
        <v>507</v>
      </c>
      <c r="C251" s="179" t="s">
        <v>9</v>
      </c>
      <c r="D251" s="29" t="s">
        <v>508</v>
      </c>
      <c r="E251" s="207"/>
      <c r="F251" s="33"/>
      <c r="G251" s="33"/>
      <c r="H251" s="33">
        <f t="shared" si="16"/>
        <v>0</v>
      </c>
      <c r="I251" s="62">
        <f t="shared" si="12"/>
        <v>0</v>
      </c>
    </row>
    <row r="252" spans="1:11" ht="15.75" hidden="1">
      <c r="A252" s="179" t="s">
        <v>745</v>
      </c>
      <c r="B252" s="179" t="s">
        <v>718</v>
      </c>
      <c r="C252" s="179" t="s">
        <v>29</v>
      </c>
      <c r="D252" s="29" t="s">
        <v>115</v>
      </c>
      <c r="E252" s="206"/>
      <c r="F252" s="259"/>
      <c r="G252" s="259"/>
      <c r="H252" s="259">
        <f t="shared" si="16"/>
        <v>0</v>
      </c>
      <c r="I252" s="62">
        <f t="shared" si="12"/>
        <v>0</v>
      </c>
    </row>
    <row r="253" spans="1:11" ht="63">
      <c r="A253" s="179" t="s">
        <v>746</v>
      </c>
      <c r="B253" s="179" t="s">
        <v>747</v>
      </c>
      <c r="C253" s="179" t="s">
        <v>483</v>
      </c>
      <c r="D253" s="29" t="s">
        <v>243</v>
      </c>
      <c r="E253" s="206" t="s">
        <v>1040</v>
      </c>
      <c r="F253" s="259"/>
      <c r="G253" s="259">
        <v>3209180</v>
      </c>
      <c r="H253" s="259">
        <f t="shared" si="16"/>
        <v>3209180</v>
      </c>
      <c r="I253" s="62">
        <f t="shared" si="12"/>
        <v>6418360</v>
      </c>
      <c r="K253" s="62">
        <f>H253-G253-F253</f>
        <v>0</v>
      </c>
    </row>
    <row r="254" spans="1:11" ht="63">
      <c r="A254" s="27" t="s">
        <v>944</v>
      </c>
      <c r="B254" s="27" t="s">
        <v>945</v>
      </c>
      <c r="C254" s="27" t="s">
        <v>484</v>
      </c>
      <c r="D254" s="26" t="s">
        <v>719</v>
      </c>
      <c r="E254" s="194" t="s">
        <v>1040</v>
      </c>
      <c r="F254" s="325"/>
      <c r="G254" s="33">
        <f>450000+250000</f>
        <v>700000</v>
      </c>
      <c r="H254" s="33">
        <f t="shared" si="16"/>
        <v>700000</v>
      </c>
      <c r="I254" s="62">
        <f t="shared" si="12"/>
        <v>1400000</v>
      </c>
      <c r="K254" s="62">
        <f>H254-G254-F254</f>
        <v>0</v>
      </c>
    </row>
    <row r="255" spans="1:11" ht="63">
      <c r="A255" s="27" t="s">
        <v>1816</v>
      </c>
      <c r="B255" s="27" t="s">
        <v>1817</v>
      </c>
      <c r="C255" s="27" t="s">
        <v>10</v>
      </c>
      <c r="D255" s="26" t="s">
        <v>1707</v>
      </c>
      <c r="E255" s="194" t="s">
        <v>1040</v>
      </c>
      <c r="F255" s="33"/>
      <c r="G255" s="33">
        <v>2670300</v>
      </c>
      <c r="H255" s="33">
        <f t="shared" si="16"/>
        <v>2670300</v>
      </c>
      <c r="I255" s="62">
        <f t="shared" si="12"/>
        <v>5340600</v>
      </c>
    </row>
    <row r="256" spans="1:11" ht="47.25">
      <c r="A256" s="172" t="s">
        <v>359</v>
      </c>
      <c r="B256" s="172"/>
      <c r="C256" s="172"/>
      <c r="D256" s="171" t="s">
        <v>377</v>
      </c>
      <c r="E256" s="195"/>
      <c r="F256" s="316">
        <f>F258+F259</f>
        <v>514400</v>
      </c>
      <c r="G256" s="316">
        <f>G258+G259</f>
        <v>0</v>
      </c>
      <c r="H256" s="316">
        <f t="shared" si="16"/>
        <v>514400</v>
      </c>
      <c r="I256" s="62">
        <f t="shared" si="12"/>
        <v>1028800</v>
      </c>
      <c r="K256" s="62">
        <f>H256-G256-F256</f>
        <v>0</v>
      </c>
    </row>
    <row r="257" spans="1:11" ht="47.25">
      <c r="A257" s="172" t="s">
        <v>360</v>
      </c>
      <c r="B257" s="172"/>
      <c r="C257" s="172"/>
      <c r="D257" s="171" t="s">
        <v>377</v>
      </c>
      <c r="E257" s="195"/>
      <c r="F257" s="316">
        <f>F258+F259</f>
        <v>514400</v>
      </c>
      <c r="G257" s="316">
        <f>G258+G259</f>
        <v>0</v>
      </c>
      <c r="H257" s="316">
        <f t="shared" si="16"/>
        <v>514400</v>
      </c>
      <c r="I257" s="62">
        <f t="shared" si="12"/>
        <v>1028800</v>
      </c>
      <c r="K257" s="62">
        <f>H257-G257-F257</f>
        <v>0</v>
      </c>
    </row>
    <row r="258" spans="1:11" ht="78.75">
      <c r="A258" s="27" t="s">
        <v>748</v>
      </c>
      <c r="B258" s="27" t="s">
        <v>749</v>
      </c>
      <c r="C258" s="27" t="s">
        <v>478</v>
      </c>
      <c r="D258" s="26" t="s">
        <v>978</v>
      </c>
      <c r="E258" s="194" t="s">
        <v>1014</v>
      </c>
      <c r="F258" s="33">
        <v>514400</v>
      </c>
      <c r="G258" s="325"/>
      <c r="H258" s="33">
        <f t="shared" si="16"/>
        <v>514400</v>
      </c>
      <c r="I258" s="62">
        <f t="shared" si="12"/>
        <v>1028800</v>
      </c>
      <c r="K258" s="62">
        <f>H258-G258-F258</f>
        <v>0</v>
      </c>
    </row>
    <row r="259" spans="1:11" ht="15.75" hidden="1">
      <c r="A259" s="27" t="s">
        <v>936</v>
      </c>
      <c r="B259" s="27" t="s">
        <v>716</v>
      </c>
      <c r="C259" s="27" t="s">
        <v>478</v>
      </c>
      <c r="D259" s="26" t="s">
        <v>392</v>
      </c>
      <c r="E259" s="207"/>
      <c r="F259" s="33"/>
      <c r="G259" s="33"/>
      <c r="H259" s="33">
        <f t="shared" si="16"/>
        <v>0</v>
      </c>
      <c r="I259" s="62">
        <f t="shared" si="12"/>
        <v>0</v>
      </c>
    </row>
    <row r="260" spans="1:11" ht="31.5">
      <c r="A260" s="172" t="s">
        <v>756</v>
      </c>
      <c r="B260" s="172"/>
      <c r="C260" s="172"/>
      <c r="D260" s="171" t="s">
        <v>160</v>
      </c>
      <c r="E260" s="195"/>
      <c r="F260" s="316">
        <f>F263+F267+F265+F266+F277+F270+F276+F274+F273+F262+F272+F271+F269+F264+F275+F278+F279+F280+F281+F282</f>
        <v>7721079</v>
      </c>
      <c r="G260" s="316">
        <f>G263+G267+G265+G266+G277+G270+G276+G274+G273+G262+G272+G271+G269+G264+G275+G278+G279+G280+G281+G282</f>
        <v>6626821</v>
      </c>
      <c r="H260" s="316">
        <f>H263+H267+H265+H266+H277+H270+H276+H274+H273+H262+H272+H271+H269+H264+H275+H278+H279+H280+H281+H282</f>
        <v>14347900</v>
      </c>
      <c r="I260" s="62">
        <f t="shared" si="12"/>
        <v>28695800</v>
      </c>
      <c r="K260" s="62">
        <f>H260-G260-F260</f>
        <v>0</v>
      </c>
    </row>
    <row r="261" spans="1:11" ht="31.5">
      <c r="A261" s="172" t="s">
        <v>755</v>
      </c>
      <c r="B261" s="172"/>
      <c r="C261" s="172"/>
      <c r="D261" s="171" t="s">
        <v>160</v>
      </c>
      <c r="E261" s="195"/>
      <c r="F261" s="316">
        <f>F262+F263+F267+F265+F266+F277+F272+F270+F274+F271+F276+F268+F269+F264+F273+F275+F278+F279+F280+F281+F282</f>
        <v>7721079</v>
      </c>
      <c r="G261" s="316">
        <f>G262+G263+G267+G265+G266+G277+G272+G270+G274+G271+G276+G268+G269+G264+G273+G275+G278+G279+G280+G281+G282</f>
        <v>6626821</v>
      </c>
      <c r="H261" s="316">
        <f>H262+H263+H267+H265+H266+H277+H272+H270+H274+H271+H276+H268+H269+H264+H273+H275+H278+H279+H280+H281+H282</f>
        <v>14347900</v>
      </c>
      <c r="I261" s="62">
        <f t="shared" si="12"/>
        <v>28695800</v>
      </c>
      <c r="K261" s="62">
        <f>H261-G261-F261</f>
        <v>0</v>
      </c>
    </row>
    <row r="262" spans="1:11" ht="15.75" hidden="1">
      <c r="A262" s="27" t="s">
        <v>757</v>
      </c>
      <c r="B262" s="27" t="s">
        <v>758</v>
      </c>
      <c r="C262" s="27" t="s">
        <v>13</v>
      </c>
      <c r="D262" s="26" t="s">
        <v>351</v>
      </c>
      <c r="E262" s="207"/>
      <c r="F262" s="33"/>
      <c r="G262" s="33"/>
      <c r="H262" s="33">
        <f t="shared" si="16"/>
        <v>0</v>
      </c>
      <c r="I262" s="62">
        <f t="shared" si="12"/>
        <v>0</v>
      </c>
    </row>
    <row r="263" spans="1:11" ht="47.25" hidden="1">
      <c r="A263" s="27" t="s">
        <v>759</v>
      </c>
      <c r="B263" s="27" t="s">
        <v>30</v>
      </c>
      <c r="C263" s="27" t="s">
        <v>10</v>
      </c>
      <c r="D263" s="19" t="s">
        <v>760</v>
      </c>
      <c r="E263" s="33"/>
      <c r="F263" s="33"/>
      <c r="G263" s="33"/>
      <c r="H263" s="33">
        <f t="shared" si="16"/>
        <v>0</v>
      </c>
      <c r="I263" s="62">
        <f t="shared" si="12"/>
        <v>0</v>
      </c>
    </row>
    <row r="264" spans="1:11" ht="94.5" hidden="1">
      <c r="A264" s="27" t="s">
        <v>895</v>
      </c>
      <c r="B264" s="27" t="s">
        <v>482</v>
      </c>
      <c r="C264" s="27" t="s">
        <v>10</v>
      </c>
      <c r="D264" s="19" t="s">
        <v>891</v>
      </c>
      <c r="E264" s="33"/>
      <c r="F264" s="33"/>
      <c r="G264" s="33"/>
      <c r="H264" s="33">
        <f t="shared" si="16"/>
        <v>0</v>
      </c>
      <c r="I264" s="62">
        <f t="shared" si="12"/>
        <v>0</v>
      </c>
    </row>
    <row r="265" spans="1:11" ht="173.25" hidden="1">
      <c r="A265" s="27" t="s">
        <v>767</v>
      </c>
      <c r="B265" s="27" t="s">
        <v>768</v>
      </c>
      <c r="C265" s="27" t="s">
        <v>10</v>
      </c>
      <c r="D265" s="19" t="s">
        <v>769</v>
      </c>
      <c r="E265" s="199"/>
      <c r="F265" s="31"/>
      <c r="G265" s="31"/>
      <c r="H265" s="31">
        <f t="shared" si="16"/>
        <v>0</v>
      </c>
      <c r="I265" s="62">
        <f t="shared" si="12"/>
        <v>0</v>
      </c>
    </row>
    <row r="266" spans="1:11" ht="94.5" hidden="1">
      <c r="A266" s="27" t="s">
        <v>764</v>
      </c>
      <c r="B266" s="27" t="s">
        <v>765</v>
      </c>
      <c r="C266" s="27" t="s">
        <v>10</v>
      </c>
      <c r="D266" s="19" t="s">
        <v>766</v>
      </c>
      <c r="E266" s="199"/>
      <c r="F266" s="31"/>
      <c r="G266" s="31"/>
      <c r="H266" s="31">
        <f t="shared" si="16"/>
        <v>0</v>
      </c>
      <c r="I266" s="62">
        <f t="shared" si="12"/>
        <v>0</v>
      </c>
    </row>
    <row r="267" spans="1:11" ht="299.25" hidden="1">
      <c r="A267" s="27" t="s">
        <v>761</v>
      </c>
      <c r="B267" s="27" t="s">
        <v>762</v>
      </c>
      <c r="C267" s="27" t="s">
        <v>10</v>
      </c>
      <c r="D267" s="20" t="s">
        <v>763</v>
      </c>
      <c r="E267" s="207"/>
      <c r="F267" s="33"/>
      <c r="G267" s="33"/>
      <c r="H267" s="33">
        <f t="shared" si="16"/>
        <v>0</v>
      </c>
      <c r="I267" s="62">
        <f t="shared" ref="I267:I313" si="17">SUM(F267:H267)</f>
        <v>0</v>
      </c>
    </row>
    <row r="268" spans="1:11" ht="47.25" hidden="1">
      <c r="A268" s="165" t="s">
        <v>780</v>
      </c>
      <c r="B268" s="165" t="s">
        <v>781</v>
      </c>
      <c r="C268" s="165"/>
      <c r="D268" s="162" t="s">
        <v>782</v>
      </c>
      <c r="E268" s="202"/>
      <c r="F268" s="163">
        <f>F269</f>
        <v>0</v>
      </c>
      <c r="G268" s="163">
        <f>G269</f>
        <v>0</v>
      </c>
      <c r="H268" s="163">
        <f t="shared" si="16"/>
        <v>0</v>
      </c>
      <c r="I268" s="62">
        <f t="shared" si="17"/>
        <v>0</v>
      </c>
    </row>
    <row r="269" spans="1:11" ht="346.5" hidden="1">
      <c r="A269" s="256" t="s">
        <v>784</v>
      </c>
      <c r="B269" s="256" t="s">
        <v>783</v>
      </c>
      <c r="C269" s="256" t="s">
        <v>10</v>
      </c>
      <c r="D269" s="262" t="s">
        <v>785</v>
      </c>
      <c r="E269" s="264"/>
      <c r="F269" s="264"/>
      <c r="G269" s="264"/>
      <c r="H269" s="264">
        <f t="shared" si="16"/>
        <v>0</v>
      </c>
      <c r="I269" s="62">
        <f t="shared" si="17"/>
        <v>0</v>
      </c>
    </row>
    <row r="270" spans="1:11" ht="236.25" hidden="1">
      <c r="A270" s="159" t="s">
        <v>776</v>
      </c>
      <c r="B270" s="159" t="s">
        <v>774</v>
      </c>
      <c r="C270" s="159" t="s">
        <v>10</v>
      </c>
      <c r="D270" s="21" t="s">
        <v>775</v>
      </c>
      <c r="E270" s="199"/>
      <c r="F270" s="31"/>
      <c r="G270" s="31"/>
      <c r="H270" s="31">
        <f t="shared" si="16"/>
        <v>0</v>
      </c>
      <c r="I270" s="62">
        <f t="shared" si="17"/>
        <v>0</v>
      </c>
    </row>
    <row r="271" spans="1:11" ht="63" hidden="1">
      <c r="A271" s="159" t="s">
        <v>786</v>
      </c>
      <c r="B271" s="159" t="s">
        <v>549</v>
      </c>
      <c r="C271" s="159" t="s">
        <v>10</v>
      </c>
      <c r="D271" s="21" t="s">
        <v>550</v>
      </c>
      <c r="E271" s="31"/>
      <c r="F271" s="31"/>
      <c r="G271" s="31"/>
      <c r="H271" s="31">
        <f t="shared" si="16"/>
        <v>0</v>
      </c>
      <c r="I271" s="62">
        <f t="shared" si="17"/>
        <v>0</v>
      </c>
    </row>
    <row r="272" spans="1:11" ht="78.75" hidden="1">
      <c r="A272" s="160" t="s">
        <v>771</v>
      </c>
      <c r="B272" s="160" t="s">
        <v>772</v>
      </c>
      <c r="C272" s="160" t="s">
        <v>10</v>
      </c>
      <c r="D272" s="156" t="s">
        <v>773</v>
      </c>
      <c r="E272" s="145"/>
      <c r="F272" s="145"/>
      <c r="G272" s="145"/>
      <c r="H272" s="145">
        <f t="shared" si="16"/>
        <v>0</v>
      </c>
      <c r="I272" s="62">
        <f t="shared" si="17"/>
        <v>0</v>
      </c>
    </row>
    <row r="273" spans="1:11" ht="315" hidden="1">
      <c r="A273" s="267">
        <v>3719610</v>
      </c>
      <c r="B273" s="267">
        <v>9610</v>
      </c>
      <c r="C273" s="160" t="s">
        <v>10</v>
      </c>
      <c r="D273" s="268" t="s">
        <v>788</v>
      </c>
      <c r="E273" s="145"/>
      <c r="F273" s="145"/>
      <c r="G273" s="145"/>
      <c r="H273" s="145">
        <f t="shared" si="16"/>
        <v>0</v>
      </c>
      <c r="I273" s="62">
        <f t="shared" si="17"/>
        <v>0</v>
      </c>
    </row>
    <row r="274" spans="1:11" ht="78.75" hidden="1">
      <c r="A274" s="159" t="s">
        <v>778</v>
      </c>
      <c r="B274" s="159" t="s">
        <v>777</v>
      </c>
      <c r="C274" s="159" t="s">
        <v>10</v>
      </c>
      <c r="D274" s="21" t="s">
        <v>779</v>
      </c>
      <c r="E274" s="31"/>
      <c r="F274" s="31"/>
      <c r="G274" s="31"/>
      <c r="H274" s="31">
        <f t="shared" si="16"/>
        <v>0</v>
      </c>
      <c r="I274" s="62">
        <f t="shared" si="17"/>
        <v>0</v>
      </c>
    </row>
    <row r="275" spans="1:11" ht="31.5" hidden="1">
      <c r="A275" s="159" t="s">
        <v>941</v>
      </c>
      <c r="B275" s="159" t="s">
        <v>942</v>
      </c>
      <c r="C275" s="159" t="s">
        <v>10</v>
      </c>
      <c r="D275" s="21" t="s">
        <v>943</v>
      </c>
      <c r="E275" s="31"/>
      <c r="F275" s="31"/>
      <c r="G275" s="31"/>
      <c r="H275" s="31">
        <f t="shared" si="16"/>
        <v>0</v>
      </c>
      <c r="I275" s="62">
        <f t="shared" si="17"/>
        <v>0</v>
      </c>
    </row>
    <row r="276" spans="1:11" ht="47.25">
      <c r="A276" s="27" t="s">
        <v>787</v>
      </c>
      <c r="B276" s="27" t="s">
        <v>515</v>
      </c>
      <c r="C276" s="27" t="s">
        <v>10</v>
      </c>
      <c r="D276" s="25" t="s">
        <v>596</v>
      </c>
      <c r="E276" s="207" t="s">
        <v>1002</v>
      </c>
      <c r="F276" s="31">
        <v>50000</v>
      </c>
      <c r="G276" s="31"/>
      <c r="H276" s="31">
        <f t="shared" si="16"/>
        <v>50000</v>
      </c>
      <c r="I276" s="62">
        <f t="shared" si="17"/>
        <v>100000</v>
      </c>
      <c r="K276" s="62">
        <f t="shared" ref="K276:K282" si="18">H276-G276-F276</f>
        <v>0</v>
      </c>
    </row>
    <row r="277" spans="1:11" ht="78.75">
      <c r="A277" s="159" t="s">
        <v>770</v>
      </c>
      <c r="B277" s="159" t="s">
        <v>510</v>
      </c>
      <c r="C277" s="159" t="s">
        <v>10</v>
      </c>
      <c r="D277" s="19" t="s">
        <v>511</v>
      </c>
      <c r="E277" s="207" t="s">
        <v>1583</v>
      </c>
      <c r="F277" s="31">
        <f>4088950+31104+892100</f>
        <v>5012154</v>
      </c>
      <c r="G277" s="31">
        <f>1725550-31104</f>
        <v>1694446</v>
      </c>
      <c r="H277" s="31">
        <f>F277+G277</f>
        <v>6706600</v>
      </c>
      <c r="I277" s="62">
        <f t="shared" si="17"/>
        <v>13413200</v>
      </c>
      <c r="K277" s="62">
        <f t="shared" si="18"/>
        <v>0</v>
      </c>
    </row>
    <row r="278" spans="1:11" ht="87.75" customHeight="1">
      <c r="A278" s="159" t="s">
        <v>770</v>
      </c>
      <c r="B278" s="159" t="s">
        <v>510</v>
      </c>
      <c r="C278" s="159" t="s">
        <v>10</v>
      </c>
      <c r="D278" s="19" t="s">
        <v>511</v>
      </c>
      <c r="E278" s="207" t="s">
        <v>1584</v>
      </c>
      <c r="F278" s="31">
        <f>878000+250000</f>
        <v>1128000</v>
      </c>
      <c r="G278" s="31">
        <v>22000</v>
      </c>
      <c r="H278" s="31">
        <f t="shared" ref="H278:H313" si="19">F278+G278</f>
        <v>1150000</v>
      </c>
      <c r="I278" s="62">
        <f t="shared" si="17"/>
        <v>2300000</v>
      </c>
      <c r="K278" s="62">
        <f t="shared" si="18"/>
        <v>0</v>
      </c>
    </row>
    <row r="279" spans="1:11" ht="97.5" customHeight="1">
      <c r="A279" s="159" t="s">
        <v>770</v>
      </c>
      <c r="B279" s="159" t="s">
        <v>510</v>
      </c>
      <c r="C279" s="159" t="s">
        <v>10</v>
      </c>
      <c r="D279" s="19" t="s">
        <v>511</v>
      </c>
      <c r="E279" s="207" t="s">
        <v>1585</v>
      </c>
      <c r="F279" s="31">
        <v>433025</v>
      </c>
      <c r="G279" s="31">
        <v>1367375</v>
      </c>
      <c r="H279" s="31">
        <f t="shared" si="19"/>
        <v>1800400</v>
      </c>
      <c r="I279" s="62">
        <f t="shared" si="17"/>
        <v>3600800</v>
      </c>
      <c r="K279" s="62">
        <f t="shared" si="18"/>
        <v>0</v>
      </c>
    </row>
    <row r="280" spans="1:11" ht="110.25">
      <c r="A280" s="159" t="s">
        <v>770</v>
      </c>
      <c r="B280" s="159" t="s">
        <v>510</v>
      </c>
      <c r="C280" s="159" t="s">
        <v>10</v>
      </c>
      <c r="D280" s="19" t="s">
        <v>511</v>
      </c>
      <c r="E280" s="207" t="s">
        <v>1617</v>
      </c>
      <c r="F280" s="31">
        <v>250000</v>
      </c>
      <c r="G280" s="31">
        <v>550000</v>
      </c>
      <c r="H280" s="31">
        <f t="shared" si="19"/>
        <v>800000</v>
      </c>
      <c r="I280" s="62">
        <f t="shared" si="17"/>
        <v>1600000</v>
      </c>
      <c r="K280" s="62">
        <f t="shared" si="18"/>
        <v>0</v>
      </c>
    </row>
    <row r="281" spans="1:11" ht="63">
      <c r="A281" s="159" t="s">
        <v>770</v>
      </c>
      <c r="B281" s="159" t="s">
        <v>510</v>
      </c>
      <c r="C281" s="159" t="s">
        <v>10</v>
      </c>
      <c r="D281" s="19" t="s">
        <v>511</v>
      </c>
      <c r="E281" s="207" t="s">
        <v>1586</v>
      </c>
      <c r="F281" s="31"/>
      <c r="G281" s="31">
        <v>200000</v>
      </c>
      <c r="H281" s="31">
        <f t="shared" si="19"/>
        <v>200000</v>
      </c>
      <c r="I281" s="62">
        <f t="shared" si="17"/>
        <v>400000</v>
      </c>
      <c r="K281" s="62">
        <f t="shared" si="18"/>
        <v>0</v>
      </c>
    </row>
    <row r="282" spans="1:11" ht="63">
      <c r="A282" s="159" t="s">
        <v>770</v>
      </c>
      <c r="B282" s="159" t="s">
        <v>510</v>
      </c>
      <c r="C282" s="159" t="s">
        <v>10</v>
      </c>
      <c r="D282" s="19" t="s">
        <v>511</v>
      </c>
      <c r="E282" s="332" t="s">
        <v>1042</v>
      </c>
      <c r="F282" s="31">
        <f>319900+248000+280000</f>
        <v>847900</v>
      </c>
      <c r="G282" s="31">
        <f>2027000+766000</f>
        <v>2793000</v>
      </c>
      <c r="H282" s="31">
        <f t="shared" si="19"/>
        <v>3640900</v>
      </c>
      <c r="I282" s="62">
        <f t="shared" si="17"/>
        <v>7281800</v>
      </c>
      <c r="K282" s="62">
        <f t="shared" si="18"/>
        <v>0</v>
      </c>
    </row>
    <row r="283" spans="1:11" ht="15.75" hidden="1">
      <c r="A283" s="159"/>
      <c r="B283" s="159"/>
      <c r="C283" s="159"/>
      <c r="D283" s="19"/>
      <c r="E283" s="31"/>
      <c r="F283" s="31"/>
      <c r="G283" s="31"/>
      <c r="H283" s="31">
        <f t="shared" si="19"/>
        <v>0</v>
      </c>
      <c r="I283" s="62">
        <f t="shared" si="17"/>
        <v>0</v>
      </c>
    </row>
    <row r="284" spans="1:11" ht="15.75" hidden="1">
      <c r="A284" s="159"/>
      <c r="B284" s="159"/>
      <c r="C284" s="159"/>
      <c r="D284" s="19"/>
      <c r="E284" s="31"/>
      <c r="F284" s="31"/>
      <c r="G284" s="31"/>
      <c r="H284" s="31">
        <f t="shared" si="19"/>
        <v>0</v>
      </c>
      <c r="I284" s="62">
        <f t="shared" si="17"/>
        <v>0</v>
      </c>
    </row>
    <row r="285" spans="1:11" ht="15.75" hidden="1">
      <c r="A285" s="159"/>
      <c r="B285" s="159"/>
      <c r="C285" s="159"/>
      <c r="D285" s="19"/>
      <c r="E285" s="31"/>
      <c r="F285" s="31"/>
      <c r="G285" s="31"/>
      <c r="H285" s="31">
        <f t="shared" si="19"/>
        <v>0</v>
      </c>
      <c r="I285" s="62">
        <f t="shared" si="17"/>
        <v>0</v>
      </c>
    </row>
    <row r="286" spans="1:11" ht="15.75" hidden="1">
      <c r="A286" s="159"/>
      <c r="B286" s="159"/>
      <c r="C286" s="159"/>
      <c r="D286" s="19"/>
      <c r="E286" s="31"/>
      <c r="F286" s="31"/>
      <c r="G286" s="31"/>
      <c r="H286" s="31">
        <f t="shared" si="19"/>
        <v>0</v>
      </c>
      <c r="I286" s="62">
        <f t="shared" si="17"/>
        <v>0</v>
      </c>
    </row>
    <row r="287" spans="1:11" ht="15.75" hidden="1">
      <c r="A287" s="159"/>
      <c r="B287" s="159"/>
      <c r="C287" s="159"/>
      <c r="D287" s="19"/>
      <c r="E287" s="31"/>
      <c r="F287" s="31"/>
      <c r="G287" s="31"/>
      <c r="H287" s="31">
        <f t="shared" si="19"/>
        <v>0</v>
      </c>
      <c r="I287" s="62">
        <f t="shared" si="17"/>
        <v>0</v>
      </c>
    </row>
    <row r="288" spans="1:11" ht="15.75" hidden="1">
      <c r="A288" s="159"/>
      <c r="B288" s="159"/>
      <c r="C288" s="159"/>
      <c r="D288" s="19"/>
      <c r="E288" s="31"/>
      <c r="F288" s="31"/>
      <c r="G288" s="31"/>
      <c r="H288" s="31">
        <f t="shared" si="19"/>
        <v>0</v>
      </c>
      <c r="I288" s="62">
        <f t="shared" si="17"/>
        <v>0</v>
      </c>
    </row>
    <row r="289" spans="1:9" ht="15.75" hidden="1">
      <c r="A289" s="159"/>
      <c r="B289" s="159"/>
      <c r="C289" s="159"/>
      <c r="D289" s="19"/>
      <c r="E289" s="31"/>
      <c r="F289" s="31"/>
      <c r="G289" s="31"/>
      <c r="H289" s="31">
        <f t="shared" si="19"/>
        <v>0</v>
      </c>
      <c r="I289" s="62">
        <f t="shared" si="17"/>
        <v>0</v>
      </c>
    </row>
    <row r="290" spans="1:9" ht="15.75" hidden="1">
      <c r="A290" s="159"/>
      <c r="B290" s="159"/>
      <c r="C290" s="159"/>
      <c r="D290" s="19"/>
      <c r="E290" s="31"/>
      <c r="F290" s="31"/>
      <c r="G290" s="31"/>
      <c r="H290" s="31">
        <f t="shared" si="19"/>
        <v>0</v>
      </c>
      <c r="I290" s="62">
        <f t="shared" si="17"/>
        <v>0</v>
      </c>
    </row>
    <row r="291" spans="1:9" ht="15.75" hidden="1">
      <c r="A291" s="159"/>
      <c r="B291" s="159"/>
      <c r="C291" s="159"/>
      <c r="D291" s="19"/>
      <c r="E291" s="31"/>
      <c r="F291" s="31"/>
      <c r="G291" s="31"/>
      <c r="H291" s="31">
        <f t="shared" si="19"/>
        <v>0</v>
      </c>
      <c r="I291" s="62">
        <f t="shared" si="17"/>
        <v>0</v>
      </c>
    </row>
    <row r="292" spans="1:9" ht="15.75" hidden="1">
      <c r="A292" s="159"/>
      <c r="B292" s="159"/>
      <c r="C292" s="159"/>
      <c r="D292" s="19"/>
      <c r="E292" s="31"/>
      <c r="F292" s="31"/>
      <c r="G292" s="31"/>
      <c r="H292" s="31">
        <f t="shared" si="19"/>
        <v>0</v>
      </c>
      <c r="I292" s="62">
        <f t="shared" si="17"/>
        <v>0</v>
      </c>
    </row>
    <row r="293" spans="1:9" ht="15.75" hidden="1">
      <c r="A293" s="159"/>
      <c r="B293" s="159"/>
      <c r="C293" s="159"/>
      <c r="D293" s="19"/>
      <c r="E293" s="31"/>
      <c r="F293" s="31"/>
      <c r="G293" s="31"/>
      <c r="H293" s="31">
        <f t="shared" si="19"/>
        <v>0</v>
      </c>
      <c r="I293" s="62">
        <f t="shared" si="17"/>
        <v>0</v>
      </c>
    </row>
    <row r="294" spans="1:9" ht="15.75" hidden="1">
      <c r="A294" s="159"/>
      <c r="B294" s="159"/>
      <c r="C294" s="159"/>
      <c r="D294" s="19"/>
      <c r="E294" s="31"/>
      <c r="F294" s="31"/>
      <c r="G294" s="31"/>
      <c r="H294" s="31">
        <f t="shared" si="19"/>
        <v>0</v>
      </c>
      <c r="I294" s="62">
        <f t="shared" si="17"/>
        <v>0</v>
      </c>
    </row>
    <row r="295" spans="1:9" ht="15.75" hidden="1">
      <c r="A295" s="159"/>
      <c r="B295" s="159"/>
      <c r="C295" s="159"/>
      <c r="D295" s="19"/>
      <c r="E295" s="31"/>
      <c r="F295" s="31"/>
      <c r="G295" s="31"/>
      <c r="H295" s="31">
        <f t="shared" si="19"/>
        <v>0</v>
      </c>
      <c r="I295" s="62">
        <f t="shared" si="17"/>
        <v>0</v>
      </c>
    </row>
    <row r="296" spans="1:9" ht="15.75" hidden="1">
      <c r="A296" s="159"/>
      <c r="B296" s="159"/>
      <c r="C296" s="159"/>
      <c r="D296" s="19"/>
      <c r="E296" s="31"/>
      <c r="F296" s="31"/>
      <c r="G296" s="31"/>
      <c r="H296" s="31">
        <f t="shared" si="19"/>
        <v>0</v>
      </c>
      <c r="I296" s="62">
        <f t="shared" si="17"/>
        <v>0</v>
      </c>
    </row>
    <row r="297" spans="1:9" ht="15.75" hidden="1">
      <c r="A297" s="159"/>
      <c r="B297" s="159"/>
      <c r="C297" s="159"/>
      <c r="D297" s="19"/>
      <c r="E297" s="31"/>
      <c r="F297" s="31"/>
      <c r="G297" s="31"/>
      <c r="H297" s="31">
        <f t="shared" si="19"/>
        <v>0</v>
      </c>
      <c r="I297" s="62">
        <f t="shared" si="17"/>
        <v>0</v>
      </c>
    </row>
    <row r="298" spans="1:9" ht="15.75" hidden="1">
      <c r="A298" s="159"/>
      <c r="B298" s="159"/>
      <c r="C298" s="159"/>
      <c r="D298" s="19"/>
      <c r="E298" s="31"/>
      <c r="F298" s="31"/>
      <c r="G298" s="31"/>
      <c r="H298" s="31">
        <f t="shared" si="19"/>
        <v>0</v>
      </c>
      <c r="I298" s="62">
        <f t="shared" si="17"/>
        <v>0</v>
      </c>
    </row>
    <row r="299" spans="1:9" ht="15.75" hidden="1">
      <c r="A299" s="159"/>
      <c r="B299" s="159"/>
      <c r="C299" s="159"/>
      <c r="D299" s="19"/>
      <c r="E299" s="31"/>
      <c r="F299" s="31"/>
      <c r="G299" s="31"/>
      <c r="H299" s="31">
        <f t="shared" si="19"/>
        <v>0</v>
      </c>
      <c r="I299" s="62">
        <f t="shared" si="17"/>
        <v>0</v>
      </c>
    </row>
    <row r="300" spans="1:9" ht="15.75" hidden="1">
      <c r="A300" s="159"/>
      <c r="B300" s="159"/>
      <c r="C300" s="159"/>
      <c r="D300" s="19"/>
      <c r="E300" s="31"/>
      <c r="F300" s="31"/>
      <c r="G300" s="31"/>
      <c r="H300" s="31">
        <f t="shared" si="19"/>
        <v>0</v>
      </c>
      <c r="I300" s="62">
        <f t="shared" si="17"/>
        <v>0</v>
      </c>
    </row>
    <row r="301" spans="1:9" ht="15.75" hidden="1">
      <c r="A301" s="159"/>
      <c r="B301" s="159"/>
      <c r="C301" s="159"/>
      <c r="D301" s="19"/>
      <c r="E301" s="31"/>
      <c r="F301" s="31"/>
      <c r="G301" s="31"/>
      <c r="H301" s="31">
        <f t="shared" si="19"/>
        <v>0</v>
      </c>
      <c r="I301" s="62">
        <f t="shared" si="17"/>
        <v>0</v>
      </c>
    </row>
    <row r="302" spans="1:9" ht="15.75" hidden="1">
      <c r="A302" s="159"/>
      <c r="B302" s="159"/>
      <c r="C302" s="159"/>
      <c r="D302" s="19"/>
      <c r="E302" s="31"/>
      <c r="F302" s="31"/>
      <c r="G302" s="31"/>
      <c r="H302" s="31">
        <f t="shared" si="19"/>
        <v>0</v>
      </c>
      <c r="I302" s="62">
        <f t="shared" si="17"/>
        <v>0</v>
      </c>
    </row>
    <row r="303" spans="1:9" ht="15.75" hidden="1">
      <c r="A303" s="159"/>
      <c r="B303" s="159"/>
      <c r="C303" s="159"/>
      <c r="D303" s="19"/>
      <c r="E303" s="31"/>
      <c r="F303" s="31"/>
      <c r="G303" s="31"/>
      <c r="H303" s="31">
        <f t="shared" si="19"/>
        <v>0</v>
      </c>
      <c r="I303" s="62">
        <f t="shared" si="17"/>
        <v>0</v>
      </c>
    </row>
    <row r="304" spans="1:9" ht="15.75" hidden="1">
      <c r="A304" s="159"/>
      <c r="B304" s="159"/>
      <c r="C304" s="159"/>
      <c r="D304" s="19"/>
      <c r="E304" s="31"/>
      <c r="F304" s="31"/>
      <c r="G304" s="31"/>
      <c r="H304" s="31">
        <f t="shared" si="19"/>
        <v>0</v>
      </c>
      <c r="I304" s="62">
        <f t="shared" si="17"/>
        <v>0</v>
      </c>
    </row>
    <row r="305" spans="1:253" ht="15.75" hidden="1">
      <c r="A305" s="159"/>
      <c r="B305" s="159"/>
      <c r="C305" s="159"/>
      <c r="D305" s="19"/>
      <c r="E305" s="31"/>
      <c r="F305" s="31"/>
      <c r="G305" s="31"/>
      <c r="H305" s="31">
        <f t="shared" si="19"/>
        <v>0</v>
      </c>
      <c r="I305" s="62">
        <f t="shared" si="17"/>
        <v>0</v>
      </c>
    </row>
    <row r="306" spans="1:253" ht="15.75" hidden="1">
      <c r="A306" s="159"/>
      <c r="B306" s="159"/>
      <c r="C306" s="159"/>
      <c r="D306" s="19"/>
      <c r="E306" s="31"/>
      <c r="F306" s="31"/>
      <c r="G306" s="31"/>
      <c r="H306" s="31">
        <f t="shared" si="19"/>
        <v>0</v>
      </c>
      <c r="I306" s="62">
        <f t="shared" si="17"/>
        <v>0</v>
      </c>
    </row>
    <row r="307" spans="1:253" ht="15.75" hidden="1">
      <c r="A307" s="159"/>
      <c r="B307" s="159"/>
      <c r="C307" s="159"/>
      <c r="D307" s="19"/>
      <c r="E307" s="31"/>
      <c r="F307" s="31"/>
      <c r="G307" s="31"/>
      <c r="H307" s="31">
        <f t="shared" si="19"/>
        <v>0</v>
      </c>
      <c r="I307" s="62">
        <f t="shared" si="17"/>
        <v>0</v>
      </c>
    </row>
    <row r="308" spans="1:253" ht="15.75" hidden="1">
      <c r="A308" s="159"/>
      <c r="B308" s="159"/>
      <c r="C308" s="159"/>
      <c r="D308" s="19"/>
      <c r="E308" s="31"/>
      <c r="F308" s="31"/>
      <c r="G308" s="31"/>
      <c r="H308" s="31">
        <f t="shared" si="19"/>
        <v>0</v>
      </c>
      <c r="I308" s="62">
        <f t="shared" si="17"/>
        <v>0</v>
      </c>
    </row>
    <row r="309" spans="1:253" ht="15.75" hidden="1">
      <c r="A309" s="159"/>
      <c r="B309" s="159"/>
      <c r="C309" s="159"/>
      <c r="D309" s="19"/>
      <c r="E309" s="31"/>
      <c r="F309" s="31"/>
      <c r="G309" s="31"/>
      <c r="H309" s="31">
        <f t="shared" si="19"/>
        <v>0</v>
      </c>
      <c r="I309" s="62">
        <f t="shared" si="17"/>
        <v>0</v>
      </c>
    </row>
    <row r="310" spans="1:253" ht="15.75" hidden="1">
      <c r="A310" s="159"/>
      <c r="B310" s="159"/>
      <c r="C310" s="159"/>
      <c r="D310" s="19"/>
      <c r="E310" s="31"/>
      <c r="F310" s="31"/>
      <c r="G310" s="31"/>
      <c r="H310" s="31">
        <f t="shared" si="19"/>
        <v>0</v>
      </c>
      <c r="I310" s="62">
        <f t="shared" si="17"/>
        <v>0</v>
      </c>
    </row>
    <row r="311" spans="1:253" ht="15.75" hidden="1">
      <c r="A311" s="159"/>
      <c r="B311" s="159"/>
      <c r="C311" s="159"/>
      <c r="D311" s="19"/>
      <c r="E311" s="31"/>
      <c r="F311" s="31"/>
      <c r="G311" s="31"/>
      <c r="H311" s="31">
        <f t="shared" si="19"/>
        <v>0</v>
      </c>
      <c r="I311" s="62">
        <f t="shared" si="17"/>
        <v>0</v>
      </c>
    </row>
    <row r="312" spans="1:253" ht="15.75" hidden="1">
      <c r="A312" s="159"/>
      <c r="B312" s="159"/>
      <c r="C312" s="159"/>
      <c r="D312" s="19"/>
      <c r="E312" s="31"/>
      <c r="F312" s="31"/>
      <c r="G312" s="31"/>
      <c r="H312" s="31">
        <f t="shared" si="19"/>
        <v>0</v>
      </c>
      <c r="I312" s="62">
        <f t="shared" si="17"/>
        <v>0</v>
      </c>
    </row>
    <row r="313" spans="1:253" ht="15.75" hidden="1">
      <c r="A313" s="159"/>
      <c r="B313" s="159"/>
      <c r="C313" s="159"/>
      <c r="D313" s="19"/>
      <c r="E313" s="31"/>
      <c r="F313" s="31"/>
      <c r="G313" s="31"/>
      <c r="H313" s="31">
        <f t="shared" si="19"/>
        <v>0</v>
      </c>
      <c r="I313" s="62">
        <f t="shared" si="17"/>
        <v>0</v>
      </c>
    </row>
    <row r="314" spans="1:253" ht="15.75">
      <c r="A314" s="172"/>
      <c r="B314" s="172"/>
      <c r="C314" s="172"/>
      <c r="D314" s="177" t="s">
        <v>85</v>
      </c>
      <c r="E314" s="208"/>
      <c r="F314" s="318">
        <f>+F10+F24+F31+F51+F79+F138+F109+F256+F118+F228+F219+F178+F260+F237+F248</f>
        <v>208682074</v>
      </c>
      <c r="G314" s="318">
        <f>+G10+G24+G31+G51+G79+G138+G109+G256+G118+G228+G219+G178+G260+G237+G248</f>
        <v>878091950.95000005</v>
      </c>
      <c r="H314" s="318">
        <f>+H10+H24+H31+H51+H79+H138+H109+H256+H118+H228+H219+H178+H260+H237+H248</f>
        <v>1086774024.95</v>
      </c>
      <c r="I314" s="62">
        <f>SUM(F314:H314)</f>
        <v>2173548049.9000001</v>
      </c>
      <c r="K314" s="62">
        <f t="shared" ref="K314:K319" si="20">H314-G314-F314</f>
        <v>0</v>
      </c>
    </row>
    <row r="315" spans="1:253">
      <c r="F315" s="16"/>
      <c r="G315" s="16"/>
      <c r="H315" s="16"/>
      <c r="I315" s="62">
        <v>1</v>
      </c>
      <c r="K315" s="62">
        <f t="shared" si="20"/>
        <v>0</v>
      </c>
    </row>
    <row r="316" spans="1:253">
      <c r="F316" s="16"/>
      <c r="G316" s="16"/>
      <c r="H316" s="16"/>
      <c r="I316" s="62">
        <v>1</v>
      </c>
      <c r="K316" s="62">
        <f t="shared" si="20"/>
        <v>0</v>
      </c>
    </row>
    <row r="317" spans="1:253" ht="19.899999999999999" customHeight="1">
      <c r="A317" s="121" t="s">
        <v>271</v>
      </c>
      <c r="B317" s="125"/>
      <c r="C317" s="126"/>
      <c r="E317" s="5"/>
      <c r="F317" s="6"/>
      <c r="G317" s="121" t="s">
        <v>272</v>
      </c>
      <c r="H317" s="4"/>
      <c r="I317" s="6">
        <v>1</v>
      </c>
      <c r="J317" s="121"/>
      <c r="K317" s="62">
        <f>H314-G314-F314</f>
        <v>0</v>
      </c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  <c r="AJ317" s="65"/>
      <c r="AK317" s="65"/>
      <c r="AL317" s="65"/>
      <c r="AM317" s="65"/>
      <c r="AN317" s="65"/>
      <c r="AO317" s="65"/>
      <c r="AP317" s="65"/>
      <c r="AQ317" s="65"/>
      <c r="AR317" s="65"/>
      <c r="AS317" s="65"/>
      <c r="AT317" s="65"/>
      <c r="AU317" s="65"/>
      <c r="AV317" s="65"/>
      <c r="AW317" s="65"/>
      <c r="AX317" s="65"/>
      <c r="AY317" s="65"/>
      <c r="AZ317" s="65"/>
      <c r="BA317" s="65"/>
      <c r="BB317" s="65"/>
      <c r="BC317" s="65"/>
      <c r="BD317" s="65"/>
      <c r="BE317" s="65"/>
      <c r="BF317" s="65"/>
      <c r="BG317" s="65"/>
      <c r="BH317" s="65"/>
      <c r="BI317" s="65"/>
      <c r="BJ317" s="65"/>
      <c r="BK317" s="65"/>
      <c r="BL317" s="65"/>
      <c r="BM317" s="65"/>
      <c r="BN317" s="65"/>
      <c r="BO317" s="65"/>
      <c r="BP317" s="65"/>
      <c r="BQ317" s="65"/>
      <c r="BR317" s="65"/>
      <c r="BS317" s="65"/>
      <c r="BT317" s="65"/>
      <c r="BU317" s="65"/>
      <c r="BV317" s="65"/>
      <c r="BW317" s="65"/>
      <c r="BX317" s="65"/>
      <c r="BY317" s="65"/>
      <c r="BZ317" s="65"/>
      <c r="CA317" s="65"/>
      <c r="CB317" s="65"/>
      <c r="CC317" s="65"/>
      <c r="CD317" s="65"/>
      <c r="CE317" s="65"/>
      <c r="CF317" s="65"/>
      <c r="CG317" s="65"/>
      <c r="CH317" s="65"/>
      <c r="CI317" s="65"/>
      <c r="CJ317" s="65"/>
      <c r="CK317" s="65"/>
      <c r="CL317" s="65"/>
      <c r="CM317" s="65"/>
      <c r="CN317" s="65"/>
      <c r="CO317" s="65"/>
      <c r="CP317" s="65"/>
      <c r="CQ317" s="65"/>
      <c r="CR317" s="65"/>
      <c r="CS317" s="65"/>
      <c r="CT317" s="65"/>
      <c r="CU317" s="65"/>
      <c r="CV317" s="65"/>
      <c r="CW317" s="65"/>
      <c r="CX317" s="65"/>
      <c r="CY317" s="65"/>
      <c r="CZ317" s="65"/>
      <c r="DA317" s="65"/>
      <c r="DB317" s="65"/>
      <c r="DC317" s="65"/>
      <c r="DD317" s="65"/>
      <c r="DE317" s="65"/>
      <c r="DF317" s="65"/>
      <c r="DG317" s="65"/>
      <c r="DH317" s="65"/>
      <c r="DI317" s="65"/>
      <c r="DJ317" s="65"/>
      <c r="DK317" s="65"/>
      <c r="DL317" s="65"/>
      <c r="DM317" s="65"/>
      <c r="DN317" s="65"/>
      <c r="DO317" s="65"/>
      <c r="DP317" s="65"/>
      <c r="DQ317" s="65"/>
      <c r="DR317" s="65"/>
      <c r="DS317" s="65"/>
      <c r="DT317" s="65"/>
      <c r="DU317" s="65"/>
      <c r="DV317" s="65"/>
      <c r="DW317" s="65"/>
      <c r="DX317" s="65"/>
      <c r="DY317" s="65"/>
      <c r="DZ317" s="65"/>
      <c r="EA317" s="65"/>
      <c r="EB317" s="65"/>
      <c r="EC317" s="65"/>
      <c r="ED317" s="65"/>
      <c r="EE317" s="65"/>
      <c r="EF317" s="65"/>
      <c r="EG317" s="65"/>
      <c r="EH317" s="65"/>
      <c r="EI317" s="65"/>
      <c r="EJ317" s="65"/>
      <c r="EK317" s="65"/>
      <c r="EL317" s="65"/>
      <c r="EM317" s="65"/>
      <c r="EN317" s="65"/>
      <c r="EO317" s="65"/>
      <c r="EP317" s="65"/>
      <c r="EQ317" s="65"/>
      <c r="ER317" s="65"/>
      <c r="ES317" s="65"/>
      <c r="ET317" s="65"/>
      <c r="EU317" s="65"/>
      <c r="EV317" s="65"/>
      <c r="EW317" s="65"/>
      <c r="EX317" s="65"/>
      <c r="EY317" s="65"/>
      <c r="EZ317" s="65"/>
      <c r="FA317" s="65"/>
      <c r="FB317" s="65"/>
      <c r="FC317" s="65"/>
      <c r="FD317" s="65"/>
      <c r="FE317" s="65"/>
      <c r="FF317" s="65"/>
      <c r="FG317" s="65"/>
      <c r="FH317" s="65"/>
      <c r="FI317" s="65"/>
      <c r="FJ317" s="65"/>
      <c r="FK317" s="65"/>
      <c r="FL317" s="65"/>
      <c r="FM317" s="65"/>
      <c r="FN317" s="65"/>
      <c r="FO317" s="65"/>
      <c r="FP317" s="65"/>
      <c r="FQ317" s="65"/>
      <c r="FR317" s="65"/>
      <c r="FS317" s="65"/>
      <c r="FT317" s="65"/>
      <c r="FU317" s="65"/>
      <c r="FV317" s="65"/>
      <c r="FW317" s="65"/>
      <c r="FX317" s="65"/>
      <c r="FY317" s="65"/>
      <c r="FZ317" s="65"/>
      <c r="GA317" s="65"/>
      <c r="GB317" s="65"/>
      <c r="GC317" s="65"/>
      <c r="GD317" s="65"/>
      <c r="GE317" s="65"/>
      <c r="GF317" s="65"/>
      <c r="GG317" s="65"/>
      <c r="GH317" s="65"/>
      <c r="GI317" s="65"/>
      <c r="GJ317" s="65"/>
      <c r="GK317" s="65"/>
      <c r="GL317" s="65"/>
      <c r="GM317" s="65"/>
      <c r="GN317" s="65"/>
      <c r="GO317" s="65"/>
      <c r="GP317" s="65"/>
      <c r="GQ317" s="65"/>
      <c r="GR317" s="65"/>
      <c r="GS317" s="65"/>
      <c r="GT317" s="65"/>
      <c r="GU317" s="65"/>
      <c r="GV317" s="65"/>
      <c r="GW317" s="65"/>
      <c r="GX317" s="65"/>
      <c r="GY317" s="65"/>
      <c r="GZ317" s="65"/>
      <c r="HA317" s="65"/>
      <c r="HB317" s="65"/>
      <c r="HC317" s="65"/>
      <c r="HD317" s="65"/>
      <c r="HE317" s="65"/>
      <c r="HF317" s="65"/>
      <c r="HG317" s="65"/>
      <c r="HH317" s="65"/>
      <c r="HI317" s="65"/>
      <c r="HJ317" s="65"/>
      <c r="HK317" s="65"/>
      <c r="HL317" s="65"/>
      <c r="HM317" s="65"/>
      <c r="HN317" s="65"/>
      <c r="HO317" s="65"/>
      <c r="HP317" s="65"/>
      <c r="HQ317" s="65"/>
      <c r="HR317" s="65"/>
      <c r="HS317" s="65"/>
      <c r="HT317" s="65"/>
      <c r="HU317" s="65"/>
      <c r="HV317" s="65"/>
      <c r="HW317" s="65"/>
      <c r="HX317" s="65"/>
      <c r="HY317" s="65"/>
      <c r="HZ317" s="65"/>
      <c r="IA317" s="65"/>
      <c r="IB317" s="65"/>
      <c r="IC317" s="65"/>
      <c r="ID317" s="65"/>
      <c r="IE317" s="65"/>
      <c r="IF317" s="65"/>
      <c r="IG317" s="65"/>
      <c r="IH317" s="65"/>
      <c r="II317" s="65"/>
      <c r="IJ317" s="65"/>
      <c r="IK317" s="65"/>
      <c r="IL317" s="65"/>
      <c r="IM317" s="65"/>
      <c r="IN317" s="65"/>
      <c r="IO317" s="65"/>
      <c r="IP317" s="65"/>
      <c r="IQ317" s="65"/>
      <c r="IR317" s="65"/>
      <c r="IS317" s="65"/>
    </row>
    <row r="318" spans="1:253">
      <c r="F318" s="16"/>
      <c r="G318" s="16"/>
      <c r="H318" s="16"/>
      <c r="I318" s="287">
        <v>1</v>
      </c>
      <c r="K318" s="62">
        <f t="shared" si="20"/>
        <v>0</v>
      </c>
    </row>
    <row r="319" spans="1:253">
      <c r="F319" s="16"/>
      <c r="G319" s="16"/>
      <c r="H319" s="16"/>
      <c r="I319" s="287">
        <v>1</v>
      </c>
      <c r="K319" s="62">
        <f t="shared" si="20"/>
        <v>0</v>
      </c>
    </row>
    <row r="320" spans="1:253" hidden="1">
      <c r="F320" s="16"/>
      <c r="G320" s="16"/>
      <c r="H320" s="16"/>
    </row>
    <row r="321" spans="6:8" hidden="1">
      <c r="F321" s="16"/>
      <c r="G321" s="16"/>
      <c r="H321" s="16"/>
    </row>
    <row r="322" spans="6:8" hidden="1">
      <c r="F322" s="16"/>
      <c r="G322" s="16"/>
      <c r="H322" s="16"/>
    </row>
    <row r="323" spans="6:8" hidden="1">
      <c r="F323" s="16"/>
      <c r="G323" s="16"/>
      <c r="H323" s="16"/>
    </row>
    <row r="324" spans="6:8" hidden="1">
      <c r="F324" s="16"/>
      <c r="G324" s="16"/>
      <c r="H324" s="16"/>
    </row>
    <row r="325" spans="6:8" hidden="1">
      <c r="F325" s="16"/>
      <c r="G325" s="16"/>
      <c r="H325" s="16"/>
    </row>
    <row r="326" spans="6:8" hidden="1">
      <c r="F326" s="16"/>
      <c r="G326" s="16"/>
      <c r="H326" s="16"/>
    </row>
    <row r="327" spans="6:8" hidden="1">
      <c r="F327" s="16"/>
      <c r="G327" s="16"/>
      <c r="H327" s="16"/>
    </row>
    <row r="328" spans="6:8" hidden="1">
      <c r="F328" s="16"/>
      <c r="G328" s="16"/>
      <c r="H328" s="16"/>
    </row>
    <row r="329" spans="6:8" hidden="1">
      <c r="F329" s="16"/>
      <c r="G329" s="16"/>
      <c r="H329" s="16"/>
    </row>
    <row r="330" spans="6:8" hidden="1">
      <c r="F330" s="16"/>
      <c r="G330" s="16"/>
      <c r="H330" s="16"/>
    </row>
    <row r="331" spans="6:8" hidden="1">
      <c r="F331" s="16"/>
      <c r="G331" s="16"/>
      <c r="H331" s="16"/>
    </row>
    <row r="332" spans="6:8" hidden="1">
      <c r="F332" s="16"/>
      <c r="G332" s="16"/>
      <c r="H332" s="16"/>
    </row>
    <row r="333" spans="6:8" hidden="1">
      <c r="F333" s="16"/>
      <c r="G333" s="16"/>
      <c r="H333" s="16"/>
    </row>
    <row r="334" spans="6:8" hidden="1">
      <c r="F334" s="16"/>
      <c r="G334" s="16"/>
      <c r="H334" s="16"/>
    </row>
    <row r="335" spans="6:8" hidden="1">
      <c r="F335" s="16"/>
      <c r="G335" s="16"/>
      <c r="H335" s="16"/>
    </row>
    <row r="336" spans="6:8" hidden="1">
      <c r="F336" s="16"/>
      <c r="G336" s="16"/>
      <c r="H336" s="16"/>
    </row>
    <row r="337" spans="6:8" hidden="1">
      <c r="F337" s="16"/>
      <c r="G337" s="16"/>
      <c r="H337" s="16"/>
    </row>
    <row r="338" spans="6:8" hidden="1">
      <c r="F338" s="16"/>
      <c r="G338" s="16"/>
      <c r="H338" s="16"/>
    </row>
    <row r="339" spans="6:8" hidden="1">
      <c r="F339" s="16"/>
      <c r="G339" s="16"/>
      <c r="H339" s="16"/>
    </row>
    <row r="340" spans="6:8" hidden="1">
      <c r="F340" s="16"/>
      <c r="G340" s="16"/>
      <c r="H340" s="16"/>
    </row>
    <row r="341" spans="6:8" hidden="1">
      <c r="F341" s="16"/>
      <c r="G341" s="16"/>
      <c r="H341" s="16"/>
    </row>
    <row r="342" spans="6:8" hidden="1">
      <c r="F342" s="16"/>
      <c r="G342" s="16"/>
      <c r="H342" s="16"/>
    </row>
    <row r="343" spans="6:8" hidden="1">
      <c r="F343" s="16"/>
      <c r="G343" s="16"/>
      <c r="H343" s="16"/>
    </row>
    <row r="344" spans="6:8" hidden="1">
      <c r="F344" s="16"/>
      <c r="G344" s="16"/>
      <c r="H344" s="16"/>
    </row>
    <row r="345" spans="6:8" hidden="1">
      <c r="F345" s="16"/>
      <c r="G345" s="16"/>
      <c r="H345" s="16"/>
    </row>
    <row r="346" spans="6:8" hidden="1">
      <c r="F346" s="16"/>
      <c r="G346" s="16"/>
      <c r="H346" s="16"/>
    </row>
    <row r="347" spans="6:8" hidden="1">
      <c r="F347" s="16"/>
      <c r="G347" s="16"/>
      <c r="H347" s="16"/>
    </row>
    <row r="348" spans="6:8" hidden="1">
      <c r="F348" s="16"/>
      <c r="G348" s="16"/>
      <c r="H348" s="16"/>
    </row>
    <row r="349" spans="6:8" hidden="1">
      <c r="F349" s="16"/>
      <c r="G349" s="16"/>
      <c r="H349" s="16"/>
    </row>
    <row r="350" spans="6:8" hidden="1">
      <c r="F350" s="16"/>
      <c r="G350" s="16"/>
      <c r="H350" s="16"/>
    </row>
    <row r="351" spans="6:8" hidden="1">
      <c r="F351" s="16"/>
      <c r="G351" s="16"/>
      <c r="H351" s="16"/>
    </row>
    <row r="352" spans="6:8" hidden="1">
      <c r="F352" s="16"/>
      <c r="G352" s="16"/>
      <c r="H352" s="16"/>
    </row>
    <row r="353" spans="6:8" hidden="1">
      <c r="F353" s="16"/>
      <c r="G353" s="16"/>
      <c r="H353" s="16"/>
    </row>
    <row r="354" spans="6:8" hidden="1">
      <c r="F354" s="16"/>
      <c r="G354" s="16"/>
      <c r="H354" s="16"/>
    </row>
    <row r="355" spans="6:8" hidden="1">
      <c r="F355" s="16"/>
      <c r="G355" s="16"/>
      <c r="H355" s="16"/>
    </row>
    <row r="356" spans="6:8" hidden="1">
      <c r="F356" s="16"/>
      <c r="G356" s="16"/>
      <c r="H356" s="16"/>
    </row>
    <row r="357" spans="6:8" hidden="1">
      <c r="F357" s="16"/>
      <c r="G357" s="16"/>
      <c r="H357" s="16"/>
    </row>
    <row r="358" spans="6:8" hidden="1">
      <c r="F358" s="16"/>
      <c r="G358" s="16"/>
      <c r="H358" s="16"/>
    </row>
    <row r="359" spans="6:8" hidden="1">
      <c r="F359" s="16"/>
      <c r="G359" s="16"/>
      <c r="H359" s="16"/>
    </row>
    <row r="360" spans="6:8" hidden="1">
      <c r="F360" s="16"/>
      <c r="G360" s="16"/>
      <c r="H360" s="16"/>
    </row>
    <row r="361" spans="6:8" hidden="1">
      <c r="F361" s="16"/>
      <c r="G361" s="16"/>
      <c r="H361" s="16"/>
    </row>
    <row r="362" spans="6:8" hidden="1">
      <c r="F362" s="16"/>
      <c r="G362" s="16"/>
      <c r="H362" s="16"/>
    </row>
    <row r="363" spans="6:8" hidden="1">
      <c r="F363" s="16"/>
      <c r="G363" s="16"/>
      <c r="H363" s="16"/>
    </row>
    <row r="364" spans="6:8" hidden="1">
      <c r="F364" s="16"/>
      <c r="G364" s="16"/>
      <c r="H364" s="16"/>
    </row>
    <row r="365" spans="6:8" hidden="1">
      <c r="F365" s="16"/>
      <c r="G365" s="16"/>
      <c r="H365" s="16"/>
    </row>
    <row r="366" spans="6:8" hidden="1">
      <c r="F366" s="16"/>
      <c r="G366" s="16"/>
      <c r="H366" s="16"/>
    </row>
    <row r="367" spans="6:8" hidden="1">
      <c r="F367" s="16"/>
      <c r="G367" s="16"/>
      <c r="H367" s="16"/>
    </row>
    <row r="368" spans="6:8" hidden="1">
      <c r="F368" s="16"/>
      <c r="G368" s="16"/>
      <c r="H368" s="16"/>
    </row>
    <row r="369" spans="5:8" hidden="1">
      <c r="F369" s="16"/>
      <c r="G369" s="16"/>
      <c r="H369" s="16"/>
    </row>
    <row r="370" spans="5:8" hidden="1">
      <c r="F370" s="16"/>
      <c r="G370" s="16"/>
      <c r="H370" s="16"/>
    </row>
    <row r="371" spans="5:8" hidden="1">
      <c r="F371" s="16"/>
      <c r="G371" s="16"/>
      <c r="H371" s="16"/>
    </row>
    <row r="372" spans="5:8" hidden="1">
      <c r="F372" s="16"/>
      <c r="G372" s="16"/>
      <c r="H372" s="16"/>
    </row>
    <row r="373" spans="5:8" hidden="1">
      <c r="F373" s="16"/>
      <c r="G373" s="16"/>
      <c r="H373" s="16"/>
    </row>
    <row r="374" spans="5:8" hidden="1">
      <c r="F374" s="16"/>
      <c r="G374" s="16"/>
      <c r="H374" s="16"/>
    </row>
    <row r="375" spans="5:8" hidden="1">
      <c r="F375" s="16"/>
      <c r="G375" s="16"/>
      <c r="H375" s="16"/>
    </row>
    <row r="376" spans="5:8" hidden="1">
      <c r="F376" s="16"/>
      <c r="G376" s="16"/>
      <c r="H376" s="16"/>
    </row>
    <row r="377" spans="5:8" hidden="1"/>
    <row r="378" spans="5:8" ht="15" hidden="1">
      <c r="E378" s="193" t="s">
        <v>118</v>
      </c>
      <c r="F378" s="313">
        <f>F11+F25+F32+F52+F80+F110+F119+F139+F179+F220+F229+F238+F249+F257+F261</f>
        <v>208682074</v>
      </c>
      <c r="G378" s="313">
        <f>G11+G25+G32+G52+G80+G110+G119+G139+G179+G220+G229+G238+G249+G257+G261</f>
        <v>878091950.95000005</v>
      </c>
      <c r="H378" s="313">
        <f>H11+H25+H32+H52+H80+H110+H119+H139+H179+H220+H229+H238+H249+H257+H261</f>
        <v>1086774024.95</v>
      </c>
    </row>
    <row r="379" spans="5:8" s="335" customFormat="1" ht="25.5" hidden="1">
      <c r="F379" s="336">
        <f>F378-F314</f>
        <v>0</v>
      </c>
      <c r="G379" s="381">
        <f>G378-G314</f>
        <v>0</v>
      </c>
      <c r="H379" s="336">
        <f>H378-H314</f>
        <v>0</v>
      </c>
    </row>
    <row r="380" spans="5:8" hidden="1"/>
    <row r="381" spans="5:8" hidden="1"/>
    <row r="382" spans="5:8" hidden="1"/>
    <row r="386" spans="6:9">
      <c r="F386" s="62">
        <f>дод3!E288</f>
        <v>7671079</v>
      </c>
      <c r="G386" s="62">
        <f>дод3!N288</f>
        <v>6626821</v>
      </c>
      <c r="H386" s="10">
        <f>SUBTOTAL(9,F386:G386)</f>
        <v>14297900</v>
      </c>
      <c r="I386" s="62" t="s">
        <v>2524</v>
      </c>
    </row>
    <row r="387" spans="6:9" ht="18.75">
      <c r="F387" s="330">
        <f>F386-F277-F278-F279-F280-F282-F281</f>
        <v>0</v>
      </c>
      <c r="G387" s="330">
        <f>G386-G277-G278-G279-G280-G282-G281</f>
        <v>0</v>
      </c>
      <c r="H387" s="330">
        <f>H386-H277-H278-H279-H280-H282-H281</f>
        <v>0</v>
      </c>
      <c r="I387" s="62"/>
    </row>
  </sheetData>
  <autoFilter ref="I1:I376">
    <filterColumn colId="0">
      <customFilters and="1">
        <customFilter operator="greaterThan" val="0"/>
      </customFilters>
    </filterColumn>
  </autoFilter>
  <mergeCells count="53">
    <mergeCell ref="B29:B30"/>
    <mergeCell ref="C29:C30"/>
    <mergeCell ref="E146:E148"/>
    <mergeCell ref="E215:E217"/>
    <mergeCell ref="F4:H4"/>
    <mergeCell ref="A5:H5"/>
    <mergeCell ref="E7:E8"/>
    <mergeCell ref="F7:F8"/>
    <mergeCell ref="G7:G8"/>
    <mergeCell ref="H7:H8"/>
    <mergeCell ref="A7:A8"/>
    <mergeCell ref="B7:B8"/>
    <mergeCell ref="C7:C8"/>
    <mergeCell ref="D7:D8"/>
    <mergeCell ref="J14:K14"/>
    <mergeCell ref="A20:A22"/>
    <mergeCell ref="B20:B22"/>
    <mergeCell ref="C20:C22"/>
    <mergeCell ref="D20:D22"/>
    <mergeCell ref="A27:A28"/>
    <mergeCell ref="B27:B28"/>
    <mergeCell ref="C27:C28"/>
    <mergeCell ref="D27:D28"/>
    <mergeCell ref="A56:A57"/>
    <mergeCell ref="B56:B57"/>
    <mergeCell ref="C56:C57"/>
    <mergeCell ref="D56:D57"/>
    <mergeCell ref="D29:D30"/>
    <mergeCell ref="A29:A30"/>
    <mergeCell ref="A72:A73"/>
    <mergeCell ref="B72:B73"/>
    <mergeCell ref="C72:C73"/>
    <mergeCell ref="D72:D73"/>
    <mergeCell ref="A105:A106"/>
    <mergeCell ref="B105:B106"/>
    <mergeCell ref="C105:C106"/>
    <mergeCell ref="D105:D106"/>
    <mergeCell ref="A129:A131"/>
    <mergeCell ref="B129:B131"/>
    <mergeCell ref="C129:C131"/>
    <mergeCell ref="D129:D131"/>
    <mergeCell ref="A230:A231"/>
    <mergeCell ref="B230:B231"/>
    <mergeCell ref="C230:C231"/>
    <mergeCell ref="D230:D231"/>
    <mergeCell ref="A206:A207"/>
    <mergeCell ref="B206:B207"/>
    <mergeCell ref="C206:C207"/>
    <mergeCell ref="D206:D207"/>
    <mergeCell ref="A141:A142"/>
    <mergeCell ref="B141:B142"/>
    <mergeCell ref="C141:C142"/>
    <mergeCell ref="D141:D142"/>
  </mergeCells>
  <phoneticPr fontId="0" type="noConversion"/>
  <printOptions horizontalCentered="1"/>
  <pageMargins left="0.26" right="0" top="0.46" bottom="0.43" header="0.17" footer="0.15748031496062992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26</vt:i4>
      </vt:variant>
    </vt:vector>
  </HeadingPairs>
  <TitlesOfParts>
    <vt:vector size="39" baseType="lpstr">
      <vt:lpstr>дод1</vt:lpstr>
      <vt:lpstr>дод1.1</vt:lpstr>
      <vt:lpstr>дод1.2</vt:lpstr>
      <vt:lpstr>дод1.3</vt:lpstr>
      <vt:lpstr>дод1.4</vt:lpstr>
      <vt:lpstr>дод1.5</vt:lpstr>
      <vt:lpstr>дод2</vt:lpstr>
      <vt:lpstr>дод3</vt:lpstr>
      <vt:lpstr>дод5</vt:lpstr>
      <vt:lpstr>дод5.1</vt:lpstr>
      <vt:lpstr>дод5.2</vt:lpstr>
      <vt:lpstr>дод6</vt:lpstr>
      <vt:lpstr>  дод7</vt:lpstr>
      <vt:lpstr>'  дод7'!Заголовки_для_печати</vt:lpstr>
      <vt:lpstr>дод1!Заголовки_для_печати</vt:lpstr>
      <vt:lpstr>дод1.1!Заголовки_для_печати</vt:lpstr>
      <vt:lpstr>дод1.2!Заголовки_для_печати</vt:lpstr>
      <vt:lpstr>дод1.3!Заголовки_для_печати</vt:lpstr>
      <vt:lpstr>дод1.4!Заголовки_для_печати</vt:lpstr>
      <vt:lpstr>дод1.5!Заголовки_для_печати</vt:lpstr>
      <vt:lpstr>дод2!Заголовки_для_печати</vt:lpstr>
      <vt:lpstr>дод3!Заголовки_для_печати</vt:lpstr>
      <vt:lpstr>дод5!Заголовки_для_печати</vt:lpstr>
      <vt:lpstr>дод5.1!Заголовки_для_печати</vt:lpstr>
      <vt:lpstr>дод5.2!Заголовки_для_печати</vt:lpstr>
      <vt:lpstr>дод6!Заголовки_для_печати</vt:lpstr>
      <vt:lpstr>'  дод7'!Область_печати</vt:lpstr>
      <vt:lpstr>дод1!Область_печати</vt:lpstr>
      <vt:lpstr>дод1.1!Область_печати</vt:lpstr>
      <vt:lpstr>дод1.2!Область_печати</vt:lpstr>
      <vt:lpstr>дод1.3!Область_печати</vt:lpstr>
      <vt:lpstr>дод1.4!Область_печати</vt:lpstr>
      <vt:lpstr>дод1.5!Область_печати</vt:lpstr>
      <vt:lpstr>дод2!Область_печати</vt:lpstr>
      <vt:lpstr>дод3!Область_печати</vt:lpstr>
      <vt:lpstr>дод5!Область_печати</vt:lpstr>
      <vt:lpstr>дод5.1!Область_печати</vt:lpstr>
      <vt:lpstr>дод5.2!Область_печати</vt:lpstr>
      <vt:lpstr>дод6!Область_печати</vt:lpstr>
    </vt:vector>
  </TitlesOfParts>
  <Company>Минфин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бюжетний відділ</dc:creator>
  <cp:lastModifiedBy>User</cp:lastModifiedBy>
  <cp:lastPrinted>2018-12-21T13:44:20Z</cp:lastPrinted>
  <dcterms:created xsi:type="dcterms:W3CDTF">2000-03-27T15:08:06Z</dcterms:created>
  <dcterms:modified xsi:type="dcterms:W3CDTF">2018-12-22T18:19:58Z</dcterms:modified>
</cp:coreProperties>
</file>